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700" tabRatio="828" activeTab="1"/>
  </bookViews>
  <sheets>
    <sheet name="Dateneingabe" sheetId="1" r:id="rId1"/>
    <sheet name="Maschinenkosten" sheetId="2" r:id="rId2"/>
    <sheet name="Korrektur" sheetId="3" r:id="rId3"/>
    <sheet name="Hilfe" sheetId="4" r:id="rId4"/>
  </sheets>
  <definedNames>
    <definedName name="Afa">'Hilfe'!$F$36</definedName>
    <definedName name="Afa\Jahr">'Hilfe'!$L$36</definedName>
    <definedName name="AJ">'Hilfe'!$F$29</definedName>
    <definedName name="aktJ">'Hilfe'!$E$33</definedName>
    <definedName name="AW">'Hilfe'!$F$28</definedName>
    <definedName name="Betriebsstunden\Jahr">'Hilfe'!$F$31</definedName>
    <definedName name="bND">'Hilfe'!$F$32</definedName>
    <definedName name="_xlnm.Print_Area" localSheetId="3">'Hilfe'!$B$1:$Q$53</definedName>
    <definedName name="_xlnm.Print_Area" localSheetId="2">'Korrektur'!$A$1:$L$40</definedName>
    <definedName name="_xlnm.Print_Area" localSheetId="1">'Maschinenkosten'!$A$1:$G$30</definedName>
    <definedName name="E\h">'Hilfe'!$F$43</definedName>
    <definedName name="E\Jahr">'Hilfe'!$L$43</definedName>
    <definedName name="FK\h">'Hilfe'!$L$48</definedName>
    <definedName name="FK\Jahr">'Hilfe'!$L$40</definedName>
    <definedName name="GK\h">'Hilfe'!$L$50</definedName>
    <definedName name="gND">'Hilfe'!$F$30</definedName>
    <definedName name="R\100h">'Hilfe'!$F$44</definedName>
    <definedName name="R\Jahr">'Hilfe'!$L$44</definedName>
    <definedName name="RvH">'Hilfe'!$F$44</definedName>
    <definedName name="RvH\100h">'Hilfe'!$E$44</definedName>
    <definedName name="U">'Hilfe'!$F$37</definedName>
    <definedName name="U\Jahr">'Hilfe'!$L$37</definedName>
    <definedName name="UvH">'Hilfe'!$E$37</definedName>
    <definedName name="V">'Hilfe'!$F$38</definedName>
    <definedName name="V\Jahr">'Hilfe'!$L$38</definedName>
    <definedName name="VK\h">'Hilfe'!$L$49</definedName>
    <definedName name="VK\Jahr">'Hilfe'!$L$45</definedName>
    <definedName name="VvH">'Hilfe'!$E$38</definedName>
    <definedName name="Z\Jahr">'Hilfe'!$L$39</definedName>
    <definedName name="ZvH">'Hilfe'!$E$39</definedName>
    <definedName name="ZW">'Hilfe'!$F$33</definedName>
    <definedName name="Ζ">'Hilfe'!$F$39</definedName>
  </definedNames>
  <calcPr fullCalcOnLoad="1"/>
</workbook>
</file>

<file path=xl/comments1.xml><?xml version="1.0" encoding="utf-8"?>
<comments xmlns="http://schemas.openxmlformats.org/spreadsheetml/2006/main">
  <authors>
    <author>Wolfgang Harasleben</author>
  </authors>
  <commentList>
    <comment ref="C3" authorId="0">
      <text>
        <r>
          <rPr>
            <b/>
            <sz val="8"/>
            <color indexed="10"/>
            <rFont val="Tahoma"/>
            <family val="2"/>
          </rPr>
          <t>ACHTUNG: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In die gelben Felder kannst du die Daten der Maschine eingeben, die du ausrechnen möchtest!</t>
        </r>
        <r>
          <rPr>
            <sz val="8"/>
            <rFont val="Tahoma"/>
            <family val="0"/>
          </rPr>
          <t xml:space="preserve">
Bitte </t>
        </r>
        <r>
          <rPr>
            <b/>
            <sz val="8"/>
            <color indexed="10"/>
            <rFont val="Tahoma"/>
            <family val="2"/>
          </rPr>
          <t>beachte</t>
        </r>
        <r>
          <rPr>
            <sz val="8"/>
            <rFont val="Tahoma"/>
            <family val="0"/>
          </rPr>
          <t>, dass du mit Ausnahme des Feldes für die Größe weder Einheiten noch Dezimalpunkte oder Dezimalkomma eingeben darfst!!!</t>
        </r>
      </text>
    </comment>
  </commentList>
</comments>
</file>

<file path=xl/comments2.xml><?xml version="1.0" encoding="utf-8"?>
<comments xmlns="http://schemas.openxmlformats.org/spreadsheetml/2006/main">
  <authors>
    <author>Wolfgang Harasleben</author>
  </authors>
  <commentList>
    <comment ref="A1" authorId="0">
      <text>
        <r>
          <rPr>
            <b/>
            <sz val="8"/>
            <rFont val="Tahoma"/>
            <family val="2"/>
          </rPr>
          <t>Tipp:</t>
        </r>
        <r>
          <rPr>
            <sz val="8"/>
            <rFont val="Tahoma"/>
            <family val="0"/>
          </rPr>
          <t xml:space="preserve"> Wenn du die Summenformel benötigst, solltest du folgendermaßen vorgehen:
◙ </t>
        </r>
        <r>
          <rPr>
            <sz val="8"/>
            <rFont val="Arial"/>
            <family val="0"/>
          </rPr>
          <t>gib</t>
        </r>
        <r>
          <rPr>
            <sz val="8"/>
            <rFont val="Tahoma"/>
            <family val="0"/>
          </rPr>
          <t xml:space="preserve"> einfach </t>
        </r>
        <r>
          <rPr>
            <b/>
            <sz val="8"/>
            <color indexed="10"/>
            <rFont val="Tahoma"/>
            <family val="2"/>
          </rPr>
          <t>=summe(</t>
        </r>
        <r>
          <rPr>
            <sz val="8"/>
            <rFont val="Tahoma"/>
            <family val="0"/>
          </rPr>
          <t xml:space="preserve"> ein
◙ markiere dann die gewünschten Zellen, z.B. </t>
        </r>
        <r>
          <rPr>
            <b/>
            <sz val="8"/>
            <color indexed="10"/>
            <rFont val="Tahoma"/>
            <family val="2"/>
          </rPr>
          <t>A1:A9</t>
        </r>
        <r>
          <rPr>
            <sz val="8"/>
            <rFont val="Tahoma"/>
            <family val="0"/>
          </rPr>
          <t xml:space="preserve">
◙ und gib zuletzt noch </t>
        </r>
        <r>
          <rPr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 ein.
So sieht dann die komplette Formel aus: </t>
        </r>
        <r>
          <rPr>
            <b/>
            <sz val="8"/>
            <color indexed="10"/>
            <rFont val="Tahoma"/>
            <family val="2"/>
          </rPr>
          <t>=summe(A1:A9)</t>
        </r>
        <r>
          <rPr>
            <sz val="8"/>
            <rFont val="Tahoma"/>
            <family val="0"/>
          </rPr>
          <t xml:space="preserve">
Schließe diesen Vorgang mit </t>
        </r>
        <r>
          <rPr>
            <b/>
            <sz val="8"/>
            <color indexed="10"/>
            <rFont val="Tahoma"/>
            <family val="2"/>
          </rPr>
          <t>Enter</t>
        </r>
        <r>
          <rPr>
            <sz val="8"/>
            <rFont val="Tahoma"/>
            <family val="0"/>
          </rPr>
          <t xml:space="preserve"> ab.</t>
        </r>
      </text>
    </comment>
    <comment ref="D3" authorId="0">
      <text>
        <r>
          <rPr>
            <b/>
            <sz val="8"/>
            <color indexed="10"/>
            <rFont val="Tahoma"/>
            <family val="2"/>
          </rPr>
          <t xml:space="preserve">ACHTUNG: </t>
        </r>
        <r>
          <rPr>
            <sz val="8"/>
            <rFont val="Tahoma"/>
            <family val="0"/>
          </rPr>
          <t xml:space="preserve">In den blauen, fett umrandeten Feldern solltest du deine Berechnungen durch-führen!
z.B. die Afa ist mit folgender Formel auszurechnen:
Afa </t>
        </r>
        <r>
          <rPr>
            <b/>
            <sz val="8"/>
            <rFont val="Tahoma"/>
            <family val="2"/>
          </rPr>
          <t xml:space="preserve">= AW : gND </t>
        </r>
        <r>
          <rPr>
            <sz val="8"/>
            <rFont val="Tahoma"/>
            <family val="2"/>
          </rPr>
          <t xml:space="preserve">in Excel sieht das so aus:
</t>
        </r>
        <r>
          <rPr>
            <b/>
            <sz val="8"/>
            <color indexed="10"/>
            <rFont val="Tahoma"/>
            <family val="2"/>
          </rPr>
          <t>=D6/D8</t>
        </r>
      </text>
    </comment>
    <comment ref="D16" authorId="0">
      <text>
        <r>
          <rPr>
            <sz val="7"/>
            <rFont val="Wingdings"/>
            <family val="0"/>
          </rPr>
          <t>l</t>
        </r>
        <r>
          <rPr>
            <sz val="7"/>
            <rFont val="Tahoma"/>
            <family val="0"/>
          </rPr>
          <t xml:space="preserve"> </t>
        </r>
        <r>
          <rPr>
            <b/>
            <sz val="7"/>
            <rFont val="Tahoma"/>
            <family val="2"/>
          </rPr>
          <t>Formel</t>
        </r>
        <r>
          <rPr>
            <sz val="7"/>
            <rFont val="Tahoma"/>
            <family val="0"/>
          </rPr>
          <t xml:space="preserve"> eingeben oder
</t>
        </r>
        <r>
          <rPr>
            <sz val="7"/>
            <rFont val="Wingdings"/>
            <family val="0"/>
          </rPr>
          <t>l</t>
        </r>
        <r>
          <rPr>
            <sz val="7"/>
            <rFont val="Tahoma"/>
            <family val="0"/>
          </rPr>
          <t xml:space="preserve"> </t>
        </r>
        <r>
          <rPr>
            <b/>
            <sz val="7"/>
            <rFont val="Tahoma"/>
            <family val="2"/>
          </rPr>
          <t>betrieblichen Wert</t>
        </r>
        <r>
          <rPr>
            <sz val="7"/>
            <rFont val="Tahoma"/>
            <family val="0"/>
          </rPr>
          <t xml:space="preserve"> überrnehmen!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ACHTUNG: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Betriebliche Wert</t>
        </r>
        <r>
          <rPr>
            <sz val="8"/>
            <rFont val="Tahoma"/>
            <family val="2"/>
          </rPr>
          <t xml:space="preserve"> haben </t>
        </r>
        <r>
          <rPr>
            <b/>
            <sz val="8"/>
            <color indexed="10"/>
            <rFont val="Tahoma"/>
            <family val="2"/>
          </rPr>
          <t>Vorrang!</t>
        </r>
      </text>
    </comment>
    <comment ref="D17" authorId="0">
      <text>
        <r>
          <rPr>
            <sz val="7"/>
            <rFont val="Wingdings"/>
            <family val="0"/>
          </rPr>
          <t>l</t>
        </r>
        <r>
          <rPr>
            <sz val="7"/>
            <rFont val="Tahoma"/>
            <family val="0"/>
          </rPr>
          <t xml:space="preserve"> </t>
        </r>
        <r>
          <rPr>
            <b/>
            <sz val="7"/>
            <rFont val="Tahoma"/>
            <family val="2"/>
          </rPr>
          <t>Formel</t>
        </r>
        <r>
          <rPr>
            <sz val="7"/>
            <rFont val="Tahoma"/>
            <family val="0"/>
          </rPr>
          <t xml:space="preserve"> eingeben oder
</t>
        </r>
        <r>
          <rPr>
            <sz val="7"/>
            <rFont val="Wingdings"/>
            <family val="0"/>
          </rPr>
          <t>l</t>
        </r>
        <r>
          <rPr>
            <sz val="7"/>
            <rFont val="Tahoma"/>
            <family val="0"/>
          </rPr>
          <t xml:space="preserve"> </t>
        </r>
        <r>
          <rPr>
            <b/>
            <sz val="7"/>
            <rFont val="Tahoma"/>
            <family val="2"/>
          </rPr>
          <t>betrieblichen Wert</t>
        </r>
        <r>
          <rPr>
            <sz val="7"/>
            <rFont val="Tahoma"/>
            <family val="0"/>
          </rPr>
          <t xml:space="preserve"> überrnehmen!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ACHTUNG: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Betriebliche Wert</t>
        </r>
        <r>
          <rPr>
            <sz val="8"/>
            <rFont val="Tahoma"/>
            <family val="2"/>
          </rPr>
          <t xml:space="preserve"> haben </t>
        </r>
        <r>
          <rPr>
            <b/>
            <sz val="8"/>
            <color indexed="10"/>
            <rFont val="Tahoma"/>
            <family val="2"/>
          </rPr>
          <t>Vorrang!</t>
        </r>
      </text>
    </comment>
  </commentList>
</comments>
</file>

<file path=xl/sharedStrings.xml><?xml version="1.0" encoding="utf-8"?>
<sst xmlns="http://schemas.openxmlformats.org/spreadsheetml/2006/main" count="211" uniqueCount="127">
  <si>
    <t>Ausgangsdaten</t>
  </si>
  <si>
    <t>Anschaffungswert</t>
  </si>
  <si>
    <t>Anschaffungsjahr</t>
  </si>
  <si>
    <t>Nutzungsdauer</t>
  </si>
  <si>
    <t>Auslastung/Betriebsstunden</t>
  </si>
  <si>
    <t>Zeitwert 1.1.</t>
  </si>
  <si>
    <t>Fixkosten</t>
  </si>
  <si>
    <t>Unterbringung (U)</t>
  </si>
  <si>
    <t>Versicherung (V)</t>
  </si>
  <si>
    <t>Verzinsung (Z)</t>
  </si>
  <si>
    <t>Summe Fixkosten pro Jahr</t>
  </si>
  <si>
    <t>Variable Kosten</t>
  </si>
  <si>
    <t>Energiekosten/h</t>
  </si>
  <si>
    <t>Summe variable Kosten pro Jahr</t>
  </si>
  <si>
    <t>Ergebnisse</t>
  </si>
  <si>
    <t>Fixkosten pro Betriebsstunde</t>
  </si>
  <si>
    <t>Variable Kosten pro Betriebsstunde</t>
  </si>
  <si>
    <t>Gesamtkosten pro Betriebsstunde</t>
  </si>
  <si>
    <t>Fixkosten
pro Jahr</t>
  </si>
  <si>
    <t>Variable Kosten pro Jahr</t>
  </si>
  <si>
    <r>
      <t xml:space="preserve">In die gelben Felder sind die für die Berechnung der Maschinenkos-ten notwendigen Daten einzu-geben.
</t>
    </r>
    <r>
      <rPr>
        <i/>
        <sz val="3"/>
        <rFont val="Arial"/>
        <family val="2"/>
      </rPr>
      <t xml:space="preserve">
</t>
    </r>
    <r>
      <rPr>
        <i/>
        <sz val="7"/>
        <rFont val="Arial"/>
        <family val="2"/>
      </rPr>
      <t>Die Berechnungen führt das Programm selbst durch!</t>
    </r>
  </si>
  <si>
    <t>Jährliche Afa (A)</t>
  </si>
  <si>
    <t>Maschine:</t>
  </si>
  <si>
    <t>Formeln:</t>
  </si>
  <si>
    <t>Afa</t>
  </si>
  <si>
    <t>Unterbringung</t>
  </si>
  <si>
    <t>Versicherung</t>
  </si>
  <si>
    <t>Verzinsung</t>
  </si>
  <si>
    <t>sind aus der ÖKL-Tabelle für die jeweilige Maschine herauszusuchen!</t>
  </si>
  <si>
    <t>ACHTUNG: fallen nicht bei allen Maschinen an!</t>
  </si>
  <si>
    <t>Berechnung der Kosten</t>
  </si>
  <si>
    <t>Kosten pro Jahr</t>
  </si>
  <si>
    <t>Verzinsung pro Jahr</t>
  </si>
  <si>
    <t>Versicherung pro Jahr</t>
  </si>
  <si>
    <t>Unterbringung pro Jahr</t>
  </si>
  <si>
    <t>Afa pro Jahr</t>
  </si>
  <si>
    <t>z.B.</t>
  </si>
  <si>
    <t>Energiekosten pro Jahrh</t>
  </si>
  <si>
    <t>Reparaturkosten pro Jahr</t>
  </si>
  <si>
    <t>jAfa=AW:gND</t>
  </si>
  <si>
    <t>E/Jahr = E/h * Betriebsstunden/Jahr</t>
  </si>
  <si>
    <t>R/Jahr = R/100h : 100 * Betriebsstunden/Jahr</t>
  </si>
  <si>
    <r>
      <t xml:space="preserve">Die Fixkosten werden ohnehin auf 1 Jahr berechnet
</t>
    </r>
    <r>
      <rPr>
        <b/>
        <sz val="16"/>
        <rFont val="Wingdings"/>
        <family val="0"/>
      </rPr>
      <t>ò</t>
    </r>
    <r>
      <rPr>
        <b/>
        <sz val="8"/>
        <rFont val="Arial"/>
        <family val="2"/>
      </rPr>
      <t xml:space="preserve">
d.h. sie können aus Spalte "D" übernommen werden!</t>
    </r>
  </si>
  <si>
    <t>∑FK/Jahr = Afa/Jahr + U/Jahr + V/Jahr + Z/Jahr</t>
  </si>
  <si>
    <t>∑VK/Jahr = E/Jahr + R/Jahr</t>
  </si>
  <si>
    <t>FK/h = FK/Jahr : Betriebsstunden/Jahr</t>
  </si>
  <si>
    <t>Summe Variable Kosten pro Jahr</t>
  </si>
  <si>
    <t>VK/h = VK/Jahr : Betriebsstunden/Jahr</t>
  </si>
  <si>
    <t>Rechenansatz&amp;Ergebnis</t>
  </si>
  <si>
    <t>Gesamtosten pro Betriebsstunde</t>
  </si>
  <si>
    <t>GK/h = FK/h + VK/h</t>
  </si>
  <si>
    <t>Angaben</t>
  </si>
  <si>
    <t>in € (betriebl. Wert)</t>
  </si>
  <si>
    <t>in % (lt. ÖKL) bzw.</t>
  </si>
  <si>
    <t>in % (lt. ÖKL) oder</t>
  </si>
  <si>
    <t>Auslastung in h</t>
  </si>
  <si>
    <t>Aktuelles Jahr</t>
  </si>
  <si>
    <t>ÖKL-Werte</t>
  </si>
  <si>
    <t>Energiekosten je h</t>
  </si>
  <si>
    <t>Reparaturkosten je 100 h in %</t>
  </si>
  <si>
    <t>Ansatz&amp;Ergebnis</t>
  </si>
  <si>
    <t>Summe Fixkosten pro</t>
  </si>
  <si>
    <t>Jahr</t>
  </si>
  <si>
    <t>Summe variable Kosten pro</t>
  </si>
  <si>
    <t>Kosten pro Betriebsstunde</t>
  </si>
  <si>
    <t>Eingabefelder:</t>
  </si>
  <si>
    <t>Größe</t>
  </si>
  <si>
    <t>Berechnung</t>
  </si>
  <si>
    <t>Maschinenkostenrechnung</t>
  </si>
  <si>
    <t>xxx</t>
  </si>
  <si>
    <t>Eingabe</t>
  </si>
  <si>
    <t>Maschinenkostenrechnung:</t>
  </si>
  <si>
    <t>Felder für Berechnungen:</t>
  </si>
  <si>
    <t>Hilfe ►</t>
  </si>
  <si>
    <t>Berechnung ►</t>
  </si>
  <si>
    <r>
      <t xml:space="preserve">◄ </t>
    </r>
    <r>
      <rPr>
        <u val="single"/>
        <sz val="12"/>
        <color indexed="9"/>
        <rFont val="Arial"/>
        <family val="0"/>
      </rPr>
      <t>Dateneingabe</t>
    </r>
  </si>
  <si>
    <t>=AW/gND</t>
  </si>
  <si>
    <t>Korrekturblatt zur Maschinenkostenrechnung</t>
  </si>
  <si>
    <t>Hilfe zur Maschinenkostenkalkulation</t>
  </si>
  <si>
    <t>Kosten/Jahr</t>
  </si>
  <si>
    <t>Berechnung/Eingabe</t>
  </si>
  <si>
    <t>Kosten/Stunde</t>
  </si>
  <si>
    <t>unabhängige Ergebnisse</t>
  </si>
  <si>
    <t>abhängige Ergebnisse (werden wenn die Formel korrekt ist, als Folgefehler mit 0,5 Punkten bewertet)</t>
  </si>
  <si>
    <t>1.</t>
  </si>
  <si>
    <t>Ergebnis</t>
  </si>
  <si>
    <t>Formel-
prüfung</t>
  </si>
  <si>
    <t>Punkte</t>
  </si>
  <si>
    <t>│</t>
  </si>
  <si>
    <t>2.</t>
  </si>
  <si>
    <t>Jährliche Afa</t>
  </si>
  <si>
    <t>Unterbringung in €</t>
  </si>
  <si>
    <t>Versicherung in €</t>
  </si>
  <si>
    <t>Verzinsung in €</t>
  </si>
  <si>
    <t>3.</t>
  </si>
  <si>
    <t>Energie pro Jahr</t>
  </si>
  <si>
    <t>Reparatur je 100 Stunden</t>
  </si>
  <si>
    <t>Reparatur pro Jahr</t>
  </si>
  <si>
    <t>Durchschnitts- oder Stückkosten</t>
  </si>
  <si>
    <t>FK pro Stunde</t>
  </si>
  <si>
    <t>VK pro Stunde</t>
  </si>
  <si>
    <t>GK pro Stunde</t>
  </si>
  <si>
    <t>Gesamtpunktezahl</t>
  </si>
  <si>
    <t>Note</t>
  </si>
  <si>
    <t>Abstufung:</t>
  </si>
  <si>
    <t>Deine Be-rechnung</t>
  </si>
  <si>
    <t>Korrektur ►</t>
  </si>
  <si>
    <t>◄ Berechnung</t>
  </si>
  <si>
    <t>◄ Korrektur</t>
  </si>
  <si>
    <t>◄ Dateneingabe</t>
  </si>
  <si>
    <t>© Mag. Wolfgang Harasleben</t>
  </si>
  <si>
    <t>Hier bitte nur dann Werte eintragen, wenn tatsächlich betriebliche Werte vorhanden sind!</t>
  </si>
  <si>
    <r>
      <t xml:space="preserve">In die gelben Felder sind die für die Berechnung der Maschinenkosten notwendigen Daten einzugeben.
</t>
    </r>
    <r>
      <rPr>
        <i/>
        <sz val="3"/>
        <rFont val="Arial"/>
        <family val="2"/>
      </rPr>
      <t xml:space="preserve">
</t>
    </r>
    <r>
      <rPr>
        <i/>
        <sz val="7"/>
        <rFont val="Arial"/>
        <family val="2"/>
      </rPr>
      <t>Die Berechnungen führt das Programm selbst durch!</t>
    </r>
  </si>
  <si>
    <t>Alter (bisherige Nutzungsdauer - bND)</t>
  </si>
  <si>
    <r>
      <t xml:space="preserve">Alter </t>
    </r>
    <r>
      <rPr>
        <sz val="8"/>
        <rFont val="Arial"/>
        <family val="2"/>
      </rPr>
      <t>(bisherige Nutzungsdauer - bND)</t>
    </r>
  </si>
  <si>
    <t>Berechnung von Alter und Zeitwert</t>
  </si>
  <si>
    <t>bND = aktJ - AJ</t>
  </si>
  <si>
    <t>ZW = AW - jAfa * bND</t>
  </si>
  <si>
    <t>Zeitwert 1.1. (ZW)</t>
  </si>
  <si>
    <t>Energiekosten pro Betriebsstunde (E)</t>
  </si>
  <si>
    <t>Reparaturkosten je 100 Betriebsstunden in % (R)</t>
  </si>
  <si>
    <t>4.</t>
  </si>
  <si>
    <t>Alter und Zeitwert</t>
  </si>
  <si>
    <t>Alter (bisherige Nutzungsdauer)</t>
  </si>
  <si>
    <t>Betrieblicher Wert:</t>
  </si>
  <si>
    <t>Traktor</t>
  </si>
  <si>
    <t>35 kW (48 PS)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</si>
</sst>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 &quot;%&quot;"/>
    <numFmt numFmtId="173" formatCode="0&quot;%&quot;"/>
    <numFmt numFmtId="174" formatCode="&quot;Reparaturkosten je&quot;\ 0\ &quot;h&quot;"/>
    <numFmt numFmtId="175" formatCode="&quot;Reparaturkosten/&quot;0&quot;h&quot;"/>
    <numFmt numFmtId="176" formatCode="0.0%"/>
    <numFmt numFmtId="177" formatCode="0\ &quot;Jahre&quot;"/>
    <numFmt numFmtId="178" formatCode="#,##0.\-\ &quot;€&quot;"/>
    <numFmt numFmtId="179" formatCode="0\ &quot;h&quot;"/>
    <numFmt numFmtId="180" formatCode="#,##0.00\ &quot;€&quot;"/>
    <numFmt numFmtId="181" formatCode="#,##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?\ %"/>
    <numFmt numFmtId="187" formatCode="#,##0.00\ &quot;€/h&quot;"/>
    <numFmt numFmtId="188" formatCode="#,##0.00\ &quot;€/100h&quot;"/>
    <numFmt numFmtId="189" formatCode="#,##0\ &quot;h&quot;"/>
    <numFmt numFmtId="190" formatCode="#,##0.00\ _€"/>
    <numFmt numFmtId="191" formatCode="#,##0.0\ _€"/>
    <numFmt numFmtId="192" formatCode="0.0"/>
    <numFmt numFmtId="193" formatCode="0.0\ &quot;/&quot;"/>
    <numFmt numFmtId="194" formatCode="&quot;Ergebnis in Prozent:&quot;\ 0\ %"/>
    <numFmt numFmtId="195" formatCode="0\ &quot;bis&quot;"/>
    <numFmt numFmtId="196" formatCode="&quot;oder&quot;\ 0\ &quot;Punkte&quot;"/>
    <numFmt numFmtId="197" formatCode="&quot;€&quot;\ #,##0.00"/>
    <numFmt numFmtId="198" formatCode="#,##0.00\ &quot;€/100 h&quot;"/>
  </numFmts>
  <fonts count="50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7"/>
      <name val="Arial"/>
      <family val="2"/>
    </font>
    <font>
      <i/>
      <sz val="3"/>
      <name val="Arial"/>
      <family val="2"/>
    </font>
    <font>
      <b/>
      <sz val="10"/>
      <name val="Arial"/>
      <family val="2"/>
    </font>
    <font>
      <sz val="5"/>
      <name val="Arial"/>
      <family val="0"/>
    </font>
    <font>
      <sz val="14"/>
      <color indexed="9"/>
      <name val="Arial Black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0"/>
    </font>
    <font>
      <b/>
      <sz val="16"/>
      <name val="Wingdings"/>
      <family val="0"/>
    </font>
    <font>
      <u val="single"/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color indexed="10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8"/>
      <color indexed="10"/>
      <name val="Arial"/>
      <family val="0"/>
    </font>
    <font>
      <sz val="10"/>
      <color indexed="9"/>
      <name val="Arial Black"/>
      <family val="2"/>
    </font>
    <font>
      <sz val="10"/>
      <color indexed="9"/>
      <name val="Arial"/>
      <family val="0"/>
    </font>
    <font>
      <sz val="12"/>
      <color indexed="9"/>
      <name val="Arial Black"/>
      <family val="2"/>
    </font>
    <font>
      <b/>
      <sz val="12"/>
      <color indexed="10"/>
      <name val="Arial"/>
      <family val="2"/>
    </font>
    <font>
      <b/>
      <sz val="14"/>
      <color indexed="9"/>
      <name val="Arial Black"/>
      <family val="2"/>
    </font>
    <font>
      <u val="single"/>
      <sz val="12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4"/>
      <name val="Arial Black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8"/>
      <name val="Wingdings 2"/>
      <family val="1"/>
    </font>
    <font>
      <b/>
      <sz val="18"/>
      <color indexed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6"/>
      <color indexed="12"/>
      <name val="Arial"/>
      <family val="2"/>
    </font>
    <font>
      <sz val="8"/>
      <color indexed="12"/>
      <name val="Arial"/>
      <family val="0"/>
    </font>
    <font>
      <sz val="7"/>
      <name val="Wingdings"/>
      <family val="0"/>
    </font>
    <font>
      <sz val="7"/>
      <name val="Tahoma"/>
      <family val="0"/>
    </font>
    <font>
      <b/>
      <sz val="7"/>
      <name val="Tahoma"/>
      <family val="2"/>
    </font>
    <font>
      <sz val="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" fillId="3" borderId="2" xfId="0" applyFont="1" applyFill="1" applyBorder="1" applyAlignment="1" applyProtection="1">
      <alignment horizontal="left" wrapText="1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10" fillId="3" borderId="4" xfId="0" applyFont="1" applyFill="1" applyBorder="1" applyAlignment="1" applyProtection="1">
      <alignment horizontal="left" wrapText="1"/>
      <protection hidden="1"/>
    </xf>
    <xf numFmtId="0" fontId="1" fillId="3" borderId="5" xfId="0" applyFont="1" applyFill="1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180" fontId="1" fillId="3" borderId="5" xfId="0" applyNumberFormat="1" applyFont="1" applyFill="1" applyBorder="1" applyAlignment="1" applyProtection="1">
      <alignment horizontal="left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177" fontId="1" fillId="3" borderId="5" xfId="0" applyNumberFormat="1" applyFont="1" applyFill="1" applyBorder="1" applyAlignment="1" applyProtection="1">
      <alignment horizontal="left" wrapText="1"/>
      <protection hidden="1"/>
    </xf>
    <xf numFmtId="0" fontId="1" fillId="3" borderId="0" xfId="0" applyFont="1" applyFill="1" applyBorder="1" applyAlignment="1" applyProtection="1">
      <alignment horizontal="left" wrapText="1"/>
      <protection hidden="1"/>
    </xf>
    <xf numFmtId="0" fontId="1" fillId="3" borderId="4" xfId="0" applyFont="1" applyFill="1" applyBorder="1" applyAlignment="1" applyProtection="1">
      <alignment horizontal="left" wrapText="1" indent="1"/>
      <protection hidden="1"/>
    </xf>
    <xf numFmtId="186" fontId="1" fillId="4" borderId="5" xfId="0" applyNumberFormat="1" applyFont="1" applyFill="1" applyBorder="1" applyAlignment="1" applyProtection="1">
      <alignment horizontal="left" wrapText="1"/>
      <protection hidden="1"/>
    </xf>
    <xf numFmtId="189" fontId="1" fillId="3" borderId="5" xfId="0" applyNumberFormat="1" applyFont="1" applyFill="1" applyBorder="1" applyAlignment="1" applyProtection="1">
      <alignment horizontal="left" wrapText="1"/>
      <protection hidden="1"/>
    </xf>
    <xf numFmtId="0" fontId="12" fillId="5" borderId="0" xfId="0" applyFont="1" applyFill="1" applyAlignment="1" applyProtection="1">
      <alignment vertical="center"/>
      <protection hidden="1"/>
    </xf>
    <xf numFmtId="0" fontId="13" fillId="5" borderId="0" xfId="0" applyFont="1" applyFill="1" applyAlignment="1" applyProtection="1">
      <alignment/>
      <protection hidden="1"/>
    </xf>
    <xf numFmtId="0" fontId="1" fillId="3" borderId="4" xfId="0" applyFont="1" applyFill="1" applyBorder="1" applyAlignment="1" applyProtection="1">
      <alignment horizontal="left" wrapText="1"/>
      <protection hidden="1"/>
    </xf>
    <xf numFmtId="0" fontId="10" fillId="6" borderId="0" xfId="0" applyFont="1" applyFill="1" applyAlignment="1" applyProtection="1">
      <alignment vertical="center"/>
      <protection hidden="1"/>
    </xf>
    <xf numFmtId="0" fontId="10" fillId="6" borderId="0" xfId="0" applyFont="1" applyFill="1" applyAlignment="1" applyProtection="1">
      <alignment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wrapText="1"/>
      <protection hidden="1"/>
    </xf>
    <xf numFmtId="180" fontId="1" fillId="4" borderId="5" xfId="0" applyNumberFormat="1" applyFont="1" applyFill="1" applyBorder="1" applyAlignment="1" applyProtection="1">
      <alignment horizontal="left" wrapText="1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6" borderId="0" xfId="0" applyFont="1" applyFill="1" applyAlignment="1" applyProtection="1">
      <alignment horizontal="right"/>
      <protection hidden="1"/>
    </xf>
    <xf numFmtId="0" fontId="1" fillId="6" borderId="0" xfId="0" applyFont="1" applyFill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/>
      <protection hidden="1"/>
    </xf>
    <xf numFmtId="0" fontId="10" fillId="6" borderId="0" xfId="0" applyFont="1" applyFill="1" applyAlignment="1" applyProtection="1">
      <alignment horizontal="right" vertical="center"/>
      <protection hidden="1"/>
    </xf>
    <xf numFmtId="0" fontId="11" fillId="7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1" fillId="8" borderId="1" xfId="0" applyFont="1" applyFill="1" applyBorder="1" applyAlignment="1" applyProtection="1">
      <alignment vertical="center"/>
      <protection hidden="1"/>
    </xf>
    <xf numFmtId="0" fontId="1" fillId="8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9" borderId="0" xfId="0" applyFont="1" applyFill="1" applyAlignment="1" applyProtection="1">
      <alignment/>
      <protection hidden="1"/>
    </xf>
    <xf numFmtId="0" fontId="1" fillId="8" borderId="4" xfId="0" applyFont="1" applyFill="1" applyBorder="1" applyAlignment="1" applyProtection="1">
      <alignment vertical="center"/>
      <protection hidden="1"/>
    </xf>
    <xf numFmtId="0" fontId="1" fillId="8" borderId="6" xfId="0" applyFont="1" applyFill="1" applyBorder="1" applyAlignment="1" applyProtection="1">
      <alignment vertical="center"/>
      <protection hidden="1"/>
    </xf>
    <xf numFmtId="0" fontId="1" fillId="8" borderId="9" xfId="0" applyFont="1" applyFill="1" applyBorder="1" applyAlignment="1" applyProtection="1">
      <alignment vertical="center"/>
      <protection hidden="1"/>
    </xf>
    <xf numFmtId="0" fontId="1" fillId="8" borderId="8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90" fontId="1" fillId="0" borderId="1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73" fontId="2" fillId="0" borderId="12" xfId="0" applyNumberFormat="1" applyFont="1" applyBorder="1" applyAlignment="1" applyProtection="1">
      <alignment/>
      <protection hidden="1"/>
    </xf>
    <xf numFmtId="180" fontId="2" fillId="0" borderId="12" xfId="0" applyNumberFormat="1" applyFont="1" applyBorder="1" applyAlignment="1" applyProtection="1">
      <alignment/>
      <protection hidden="1"/>
    </xf>
    <xf numFmtId="180" fontId="2" fillId="0" borderId="12" xfId="0" applyNumberFormat="1" applyFont="1" applyBorder="1" applyAlignment="1" applyProtection="1" quotePrefix="1">
      <alignment/>
      <protection hidden="1"/>
    </xf>
    <xf numFmtId="10" fontId="3" fillId="7" borderId="12" xfId="19" applyNumberFormat="1" applyFont="1" applyFill="1" applyBorder="1" applyAlignment="1" applyProtection="1">
      <alignment/>
      <protection hidden="1"/>
    </xf>
    <xf numFmtId="4" fontId="2" fillId="2" borderId="0" xfId="0" applyNumberFormat="1" applyFont="1" applyFill="1" applyAlignment="1" applyProtection="1">
      <alignment/>
      <protection hidden="1"/>
    </xf>
    <xf numFmtId="10" fontId="3" fillId="4" borderId="12" xfId="19" applyNumberFormat="1" applyFont="1" applyFill="1" applyBorder="1" applyAlignment="1" applyProtection="1">
      <alignment/>
      <protection hidden="1"/>
    </xf>
    <xf numFmtId="180" fontId="2" fillId="0" borderId="13" xfId="0" applyNumberFormat="1" applyFont="1" applyBorder="1" applyAlignment="1" applyProtection="1" quotePrefix="1">
      <alignment/>
      <protection hidden="1"/>
    </xf>
    <xf numFmtId="0" fontId="7" fillId="8" borderId="0" xfId="0" applyFont="1" applyFill="1" applyAlignment="1" applyProtection="1">
      <alignment/>
      <protection hidden="1"/>
    </xf>
    <xf numFmtId="0" fontId="7" fillId="8" borderId="0" xfId="0" applyFont="1" applyFill="1" applyAlignment="1" applyProtection="1">
      <alignment horizontal="right"/>
      <protection hidden="1"/>
    </xf>
    <xf numFmtId="180" fontId="7" fillId="8" borderId="5" xfId="0" applyNumberFormat="1" applyFont="1" applyFill="1" applyBorder="1" applyAlignment="1" applyProtection="1" quotePrefix="1">
      <alignment/>
      <protection hidden="1"/>
    </xf>
    <xf numFmtId="0" fontId="1" fillId="8" borderId="8" xfId="0" applyFont="1" applyFill="1" applyBorder="1" applyAlignment="1" applyProtection="1">
      <alignment horizontal="center" vertical="center"/>
      <protection hidden="1"/>
    </xf>
    <xf numFmtId="187" fontId="3" fillId="4" borderId="12" xfId="0" applyNumberFormat="1" applyFont="1" applyFill="1" applyBorder="1" applyAlignment="1" applyProtection="1">
      <alignment/>
      <protection hidden="1"/>
    </xf>
    <xf numFmtId="176" fontId="3" fillId="4" borderId="12" xfId="19" applyNumberFormat="1" applyFont="1" applyFill="1" applyBorder="1" applyAlignment="1" applyProtection="1">
      <alignment/>
      <protection hidden="1"/>
    </xf>
    <xf numFmtId="188" fontId="2" fillId="0" borderId="12" xfId="0" applyNumberFormat="1" applyFont="1" applyBorder="1" applyAlignment="1" applyProtection="1">
      <alignment/>
      <protection hidden="1"/>
    </xf>
    <xf numFmtId="180" fontId="2" fillId="0" borderId="13" xfId="0" applyNumberFormat="1" applyFont="1" applyBorder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180" fontId="7" fillId="8" borderId="5" xfId="0" applyNumberFormat="1" applyFont="1" applyFill="1" applyBorder="1" applyAlignment="1" applyProtection="1">
      <alignment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1" fillId="10" borderId="3" xfId="0" applyFont="1" applyFill="1" applyBorder="1" applyAlignment="1" applyProtection="1">
      <alignment vertical="center"/>
      <protection hidden="1"/>
    </xf>
    <xf numFmtId="0" fontId="1" fillId="10" borderId="9" xfId="0" applyFont="1" applyFill="1" applyBorder="1" applyAlignment="1" applyProtection="1">
      <alignment vertical="center"/>
      <protection hidden="1"/>
    </xf>
    <xf numFmtId="0" fontId="1" fillId="10" borderId="8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/>
      <protection hidden="1"/>
    </xf>
    <xf numFmtId="180" fontId="2" fillId="10" borderId="5" xfId="0" applyNumberFormat="1" applyFont="1" applyFill="1" applyBorder="1" applyAlignment="1" applyProtection="1">
      <alignment/>
      <protection hidden="1"/>
    </xf>
    <xf numFmtId="180" fontId="2" fillId="10" borderId="14" xfId="0" applyNumberFormat="1" applyFont="1" applyFill="1" applyBorder="1" applyAlignment="1" applyProtection="1">
      <alignment/>
      <protection hidden="1"/>
    </xf>
    <xf numFmtId="0" fontId="7" fillId="11" borderId="0" xfId="0" applyFont="1" applyFill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80" fontId="7" fillId="11" borderId="15" xfId="0" applyNumberFormat="1" applyFont="1" applyFill="1" applyBorder="1" applyAlignment="1" applyProtection="1">
      <alignment/>
      <protection hidden="1"/>
    </xf>
    <xf numFmtId="0" fontId="1" fillId="11" borderId="1" xfId="0" applyFont="1" applyFill="1" applyBorder="1" applyAlignment="1" applyProtection="1">
      <alignment vertical="center"/>
      <protection hidden="1"/>
    </xf>
    <xf numFmtId="0" fontId="1" fillId="11" borderId="3" xfId="0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 wrapText="1"/>
      <protection hidden="1"/>
    </xf>
    <xf numFmtId="0" fontId="1" fillId="11" borderId="9" xfId="0" applyFont="1" applyFill="1" applyBorder="1" applyAlignment="1" applyProtection="1">
      <alignment vertical="center"/>
      <protection hidden="1"/>
    </xf>
    <xf numFmtId="0" fontId="1" fillId="11" borderId="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80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6" xfId="0" applyFont="1" applyFill="1" applyBorder="1" applyAlignment="1" applyProtection="1">
      <alignment horizontal="left" vertical="center" wrapText="1"/>
      <protection locked="0"/>
    </xf>
    <xf numFmtId="177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189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6" borderId="0" xfId="0" applyFont="1" applyFill="1" applyBorder="1" applyAlignment="1" applyProtection="1">
      <alignment horizontal="left" wrapText="1"/>
      <protection hidden="1"/>
    </xf>
    <xf numFmtId="0" fontId="22" fillId="9" borderId="0" xfId="0" applyFont="1" applyFill="1" applyBorder="1" applyAlignment="1" applyProtection="1">
      <alignment vertical="center" wrapText="1"/>
      <protection hidden="1"/>
    </xf>
    <xf numFmtId="0" fontId="11" fillId="9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10" fillId="9" borderId="0" xfId="0" applyFont="1" applyFill="1" applyBorder="1" applyAlignment="1" applyProtection="1">
      <alignment horizontal="left" vertical="center"/>
      <protection hidden="1"/>
    </xf>
    <xf numFmtId="0" fontId="21" fillId="9" borderId="0" xfId="0" applyFont="1" applyFill="1" applyBorder="1" applyAlignment="1" applyProtection="1">
      <alignment horizontal="justify" vertical="center" wrapText="1"/>
      <protection hidden="1"/>
    </xf>
    <xf numFmtId="0" fontId="1" fillId="9" borderId="0" xfId="0" applyFont="1" applyFill="1" applyBorder="1" applyAlignment="1" applyProtection="1">
      <alignment horizontal="justify" vertical="center" wrapText="1"/>
      <protection hidden="1"/>
    </xf>
    <xf numFmtId="0" fontId="1" fillId="9" borderId="0" xfId="0" applyFont="1" applyFill="1" applyBorder="1" applyAlignment="1" applyProtection="1">
      <alignment horizontal="left" vertical="center" wrapText="1"/>
      <protection hidden="1"/>
    </xf>
    <xf numFmtId="186" fontId="1" fillId="4" borderId="1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horizontal="right" vertical="center"/>
      <protection hidden="1"/>
    </xf>
    <xf numFmtId="175" fontId="2" fillId="2" borderId="0" xfId="0" applyNumberFormat="1" applyFont="1" applyFill="1" applyAlignment="1" applyProtection="1">
      <alignment horizontal="left"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10" borderId="0" xfId="0" applyFont="1" applyFill="1" applyAlignment="1" applyProtection="1">
      <alignment vertical="center"/>
      <protection hidden="1"/>
    </xf>
    <xf numFmtId="0" fontId="7" fillId="11" borderId="0" xfId="0" applyFont="1" applyFill="1" applyAlignment="1" applyProtection="1">
      <alignment vertical="center"/>
      <protection hidden="1"/>
    </xf>
    <xf numFmtId="0" fontId="0" fillId="6" borderId="0" xfId="0" applyFill="1" applyBorder="1" applyAlignment="1" applyProtection="1">
      <alignment/>
      <protection hidden="1"/>
    </xf>
    <xf numFmtId="0" fontId="24" fillId="6" borderId="0" xfId="0" applyFont="1" applyFill="1" applyBorder="1" applyAlignment="1" applyProtection="1">
      <alignment vertical="center" wrapText="1"/>
      <protection hidden="1"/>
    </xf>
    <xf numFmtId="0" fontId="13" fillId="6" borderId="0" xfId="0" applyFont="1" applyFill="1" applyBorder="1" applyAlignment="1" applyProtection="1">
      <alignment/>
      <protection hidden="1"/>
    </xf>
    <xf numFmtId="0" fontId="22" fillId="6" borderId="0" xfId="0" applyFont="1" applyFill="1" applyBorder="1" applyAlignment="1" applyProtection="1">
      <alignment vertical="center" wrapText="1"/>
      <protection hidden="1"/>
    </xf>
    <xf numFmtId="0" fontId="23" fillId="6" borderId="0" xfId="0" applyFont="1" applyFill="1" applyBorder="1" applyAlignment="1" applyProtection="1">
      <alignment/>
      <protection hidden="1"/>
    </xf>
    <xf numFmtId="0" fontId="23" fillId="9" borderId="0" xfId="0" applyFont="1" applyFill="1" applyBorder="1" applyAlignment="1" applyProtection="1">
      <alignment/>
      <protection hidden="1"/>
    </xf>
    <xf numFmtId="0" fontId="10" fillId="9" borderId="0" xfId="0" applyFont="1" applyFill="1" applyBorder="1" applyAlignment="1" applyProtection="1">
      <alignment horizontal="left" vertical="center" wrapText="1"/>
      <protection hidden="1"/>
    </xf>
    <xf numFmtId="0" fontId="1" fillId="9" borderId="0" xfId="0" applyFont="1" applyFill="1" applyBorder="1" applyAlignment="1" applyProtection="1">
      <alignment vertical="center"/>
      <protection hidden="1"/>
    </xf>
    <xf numFmtId="0" fontId="11" fillId="9" borderId="0" xfId="0" applyFont="1" applyFill="1" applyBorder="1" applyAlignment="1" applyProtection="1">
      <alignment horizontal="left" vertical="center" wrapText="1"/>
      <protection hidden="1"/>
    </xf>
    <xf numFmtId="0" fontId="20" fillId="9" borderId="0" xfId="0" applyFont="1" applyFill="1" applyBorder="1" applyAlignment="1" applyProtection="1">
      <alignment horizontal="left" vertical="center" wrapText="1"/>
      <protection hidden="1"/>
    </xf>
    <xf numFmtId="0" fontId="10" fillId="9" borderId="0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27" fillId="12" borderId="17" xfId="18" applyFont="1" applyFill="1" applyBorder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7" fillId="13" borderId="18" xfId="18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24" fillId="5" borderId="19" xfId="0" applyFont="1" applyFill="1" applyBorder="1" applyAlignment="1" applyProtection="1">
      <alignment horizontal="right" vertical="center"/>
      <protection hidden="1"/>
    </xf>
    <xf numFmtId="0" fontId="24" fillId="5" borderId="19" xfId="0" applyFont="1" applyFill="1" applyBorder="1" applyAlignment="1" applyProtection="1">
      <alignment vertical="center"/>
      <protection hidden="1"/>
    </xf>
    <xf numFmtId="0" fontId="26" fillId="5" borderId="19" xfId="0" applyFont="1" applyFill="1" applyBorder="1" applyAlignment="1" applyProtection="1">
      <alignment vertical="center"/>
      <protection hidden="1"/>
    </xf>
    <xf numFmtId="0" fontId="9" fillId="5" borderId="19" xfId="0" applyFont="1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180" fontId="29" fillId="4" borderId="15" xfId="0" applyNumberFormat="1" applyFont="1" applyFill="1" applyBorder="1" applyAlignment="1" applyProtection="1">
      <alignment vertical="center"/>
      <protection locked="0"/>
    </xf>
    <xf numFmtId="178" fontId="29" fillId="4" borderId="15" xfId="0" applyNumberFormat="1" applyFont="1" applyFill="1" applyBorder="1" applyAlignment="1" applyProtection="1">
      <alignment vertical="center"/>
      <protection locked="0"/>
    </xf>
    <xf numFmtId="180" fontId="29" fillId="4" borderId="15" xfId="0" applyNumberFormat="1" applyFont="1" applyFill="1" applyBorder="1" applyAlignment="1" applyProtection="1" quotePrefix="1">
      <alignment horizontal="center" vertical="center"/>
      <protection hidden="1"/>
    </xf>
    <xf numFmtId="173" fontId="2" fillId="0" borderId="20" xfId="0" applyNumberFormat="1" applyFont="1" applyBorder="1" applyAlignment="1" applyProtection="1">
      <alignment vertical="center"/>
      <protection hidden="1"/>
    </xf>
    <xf numFmtId="0" fontId="31" fillId="6" borderId="0" xfId="0" applyFont="1" applyFill="1" applyAlignment="1" applyProtection="1">
      <alignment horizontal="center" vertical="center"/>
      <protection hidden="1"/>
    </xf>
    <xf numFmtId="0" fontId="32" fillId="6" borderId="0" xfId="0" applyFont="1" applyFill="1" applyAlignment="1" applyProtection="1">
      <alignment vertical="center"/>
      <protection hidden="1"/>
    </xf>
    <xf numFmtId="178" fontId="29" fillId="14" borderId="15" xfId="0" applyNumberFormat="1" applyFont="1" applyFill="1" applyBorder="1" applyAlignment="1" applyProtection="1">
      <alignment vertical="center"/>
      <protection locked="0"/>
    </xf>
    <xf numFmtId="180" fontId="29" fillId="14" borderId="15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6" fontId="2" fillId="0" borderId="20" xfId="19" applyNumberFormat="1" applyFont="1" applyFill="1" applyBorder="1" applyAlignment="1" applyProtection="1">
      <alignment vertical="center"/>
      <protection hidden="1"/>
    </xf>
    <xf numFmtId="180" fontId="2" fillId="0" borderId="13" xfId="0" applyNumberFormat="1" applyFont="1" applyFill="1" applyBorder="1" applyAlignment="1" applyProtection="1">
      <alignment vertical="center"/>
      <protection hidden="1"/>
    </xf>
    <xf numFmtId="180" fontId="1" fillId="0" borderId="5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textRotation="90" wrapText="1"/>
      <protection hidden="1"/>
    </xf>
    <xf numFmtId="0" fontId="1" fillId="8" borderId="2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1" fillId="8" borderId="7" xfId="0" applyFont="1" applyFill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1" fillId="10" borderId="7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7" xfId="0" applyFont="1" applyFill="1" applyBorder="1" applyAlignment="1" applyProtection="1">
      <alignment vertical="center"/>
      <protection hidden="1"/>
    </xf>
    <xf numFmtId="0" fontId="9" fillId="5" borderId="19" xfId="0" applyFont="1" applyFill="1" applyBorder="1" applyAlignment="1" applyProtection="1">
      <alignment/>
      <protection hidden="1"/>
    </xf>
    <xf numFmtId="0" fontId="9" fillId="5" borderId="11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14" borderId="5" xfId="0" applyFill="1" applyBorder="1" applyAlignment="1" applyProtection="1">
      <alignment/>
      <protection hidden="1"/>
    </xf>
    <xf numFmtId="0" fontId="10" fillId="9" borderId="0" xfId="0" applyFont="1" applyFill="1" applyAlignment="1" applyProtection="1">
      <alignment horizontal="center"/>
      <protection hidden="1"/>
    </xf>
    <xf numFmtId="0" fontId="10" fillId="9" borderId="0" xfId="0" applyFont="1" applyFill="1" applyAlignment="1" applyProtection="1">
      <alignment horizontal="center" wrapText="1"/>
      <protection hidden="1"/>
    </xf>
    <xf numFmtId="0" fontId="11" fillId="9" borderId="0" xfId="0" applyFont="1" applyFill="1" applyAlignment="1" applyProtection="1" quotePrefix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28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1" fillId="14" borderId="5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7" fillId="14" borderId="5" xfId="0" applyNumberFormat="1" applyFont="1" applyFill="1" applyBorder="1" applyAlignment="1" applyProtection="1">
      <alignment/>
      <protection hidden="1"/>
    </xf>
    <xf numFmtId="0" fontId="28" fillId="2" borderId="0" xfId="0" applyFont="1" applyFill="1" applyAlignment="1" applyProtection="1">
      <alignment horizontal="center"/>
      <protection hidden="1"/>
    </xf>
    <xf numFmtId="0" fontId="28" fillId="2" borderId="7" xfId="0" applyNumberFormat="1" applyFont="1" applyFill="1" applyBorder="1" applyAlignment="1" applyProtection="1">
      <alignment horizontal="center"/>
      <protection hidden="1"/>
    </xf>
    <xf numFmtId="4" fontId="1" fillId="4" borderId="5" xfId="0" applyNumberFormat="1" applyFont="1" applyFill="1" applyBorder="1" applyAlignment="1" applyProtection="1">
      <alignment/>
      <protection hidden="1"/>
    </xf>
    <xf numFmtId="4" fontId="7" fillId="0" borderId="5" xfId="0" applyNumberFormat="1" applyFont="1" applyBorder="1" applyAlignment="1" applyProtection="1">
      <alignment/>
      <protection hidden="1"/>
    </xf>
    <xf numFmtId="0" fontId="19" fillId="10" borderId="0" xfId="0" applyFont="1" applyFill="1" applyAlignment="1" applyProtection="1">
      <alignment vertical="top"/>
      <protection hidden="1"/>
    </xf>
    <xf numFmtId="0" fontId="19" fillId="10" borderId="0" xfId="0" applyFont="1" applyFill="1" applyAlignment="1" applyProtection="1">
      <alignment wrapText="1"/>
      <protection hidden="1"/>
    </xf>
    <xf numFmtId="192" fontId="19" fillId="10" borderId="0" xfId="0" applyNumberFormat="1" applyFont="1" applyFill="1" applyAlignment="1" applyProtection="1">
      <alignment horizontal="left" wrapText="1"/>
      <protection hidden="1"/>
    </xf>
    <xf numFmtId="192" fontId="19" fillId="10" borderId="0" xfId="0" applyNumberFormat="1" applyFont="1" applyFill="1" applyAlignment="1" applyProtection="1">
      <alignment horizontal="right" wrapText="1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0" fillId="10" borderId="7" xfId="0" applyFill="1" applyBorder="1" applyAlignment="1" applyProtection="1">
      <alignment/>
      <protection hidden="1"/>
    </xf>
    <xf numFmtId="0" fontId="1" fillId="10" borderId="7" xfId="0" applyFont="1" applyFill="1" applyBorder="1" applyAlignment="1" applyProtection="1">
      <alignment/>
      <protection hidden="1"/>
    </xf>
    <xf numFmtId="0" fontId="28" fillId="10" borderId="7" xfId="0" applyFont="1" applyFill="1" applyBorder="1" applyAlignment="1" applyProtection="1">
      <alignment/>
      <protection hidden="1"/>
    </xf>
    <xf numFmtId="0" fontId="30" fillId="9" borderId="0" xfId="0" applyFont="1" applyFill="1" applyAlignment="1" applyProtection="1">
      <alignment/>
      <protection hidden="1"/>
    </xf>
    <xf numFmtId="194" fontId="0" fillId="9" borderId="0" xfId="0" applyNumberFormat="1" applyFill="1" applyAlignment="1" applyProtection="1">
      <alignment horizontal="left"/>
      <protection hidden="1"/>
    </xf>
    <xf numFmtId="194" fontId="0" fillId="0" borderId="0" xfId="0" applyNumberFormat="1" applyAlignment="1" applyProtection="1">
      <alignment horizontal="left"/>
      <protection hidden="1"/>
    </xf>
    <xf numFmtId="9" fontId="0" fillId="0" borderId="0" xfId="0" applyNumberFormat="1" applyAlignment="1" applyProtection="1">
      <alignment/>
      <protection hidden="1"/>
    </xf>
    <xf numFmtId="195" fontId="2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/>
      <protection hidden="1"/>
    </xf>
    <xf numFmtId="0" fontId="0" fillId="9" borderId="0" xfId="0" applyFill="1" applyAlignment="1" applyProtection="1">
      <alignment horizontal="center"/>
      <protection hidden="1"/>
    </xf>
    <xf numFmtId="0" fontId="27" fillId="15" borderId="17" xfId="18" applyFont="1" applyFill="1" applyBorder="1" applyAlignment="1" applyProtection="1">
      <alignment horizontal="center" vertical="center"/>
      <protection locked="0"/>
    </xf>
    <xf numFmtId="0" fontId="27" fillId="12" borderId="17" xfId="18" applyFont="1" applyFill="1" applyBorder="1" applyAlignment="1" applyProtection="1">
      <alignment horizontal="center" vertical="center"/>
      <protection locked="0"/>
    </xf>
    <xf numFmtId="0" fontId="27" fillId="13" borderId="18" xfId="18" applyFont="1" applyFill="1" applyBorder="1" applyAlignment="1" applyProtection="1">
      <alignment horizontal="center" vertical="center"/>
      <protection locked="0"/>
    </xf>
    <xf numFmtId="178" fontId="2" fillId="0" borderId="5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79" fontId="2" fillId="0" borderId="21" xfId="0" applyNumberFormat="1" applyFont="1" applyFill="1" applyBorder="1" applyAlignment="1" applyProtection="1">
      <alignment vertical="center"/>
      <protection hidden="1"/>
    </xf>
    <xf numFmtId="178" fontId="2" fillId="0" borderId="14" xfId="0" applyNumberFormat="1" applyFont="1" applyFill="1" applyBorder="1" applyAlignment="1" applyProtection="1">
      <alignment vertical="center"/>
      <protection hidden="1"/>
    </xf>
    <xf numFmtId="0" fontId="43" fillId="0" borderId="0" xfId="0" applyFont="1" applyAlignment="1" applyProtection="1">
      <alignment/>
      <protection hidden="1"/>
    </xf>
    <xf numFmtId="9" fontId="4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86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44" fillId="9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11" fillId="7" borderId="16" xfId="0" applyFont="1" applyFill="1" applyBorder="1" applyAlignment="1" applyProtection="1">
      <alignment horizontal="left" vertical="center" wrapText="1"/>
      <protection hidden="1"/>
    </xf>
    <xf numFmtId="0" fontId="20" fillId="9" borderId="22" xfId="0" applyFont="1" applyFill="1" applyBorder="1" applyAlignment="1" applyProtection="1">
      <alignment horizontal="left" wrapText="1"/>
      <protection hidden="1"/>
    </xf>
    <xf numFmtId="0" fontId="1" fillId="9" borderId="22" xfId="0" applyFont="1" applyFill="1" applyBorder="1" applyAlignment="1" applyProtection="1">
      <alignment horizontal="justify" wrapText="1"/>
      <protection hidden="1"/>
    </xf>
    <xf numFmtId="0" fontId="33" fillId="0" borderId="0" xfId="0" applyFont="1" applyAlignment="1" applyProtection="1">
      <alignment vertical="center"/>
      <protection hidden="1"/>
    </xf>
    <xf numFmtId="178" fontId="3" fillId="7" borderId="12" xfId="0" applyNumberFormat="1" applyFont="1" applyFill="1" applyBorder="1" applyAlignment="1" applyProtection="1">
      <alignment/>
      <protection hidden="1"/>
    </xf>
    <xf numFmtId="0" fontId="3" fillId="7" borderId="12" xfId="0" applyFont="1" applyFill="1" applyBorder="1" applyAlignment="1" applyProtection="1">
      <alignment/>
      <protection hidden="1"/>
    </xf>
    <xf numFmtId="177" fontId="3" fillId="7" borderId="12" xfId="0" applyNumberFormat="1" applyFont="1" applyFill="1" applyBorder="1" applyAlignment="1" applyProtection="1">
      <alignment/>
      <protection hidden="1"/>
    </xf>
    <xf numFmtId="179" fontId="3" fillId="7" borderId="12" xfId="0" applyNumberFormat="1" applyFont="1" applyFill="1" applyBorder="1" applyAlignment="1" applyProtection="1">
      <alignment/>
      <protection hidden="1"/>
    </xf>
    <xf numFmtId="178" fontId="2" fillId="0" borderId="23" xfId="0" applyNumberFormat="1" applyFont="1" applyBorder="1" applyAlignment="1" applyProtection="1">
      <alignment/>
      <protection hidden="1"/>
    </xf>
    <xf numFmtId="0" fontId="4" fillId="7" borderId="5" xfId="0" applyFont="1" applyFill="1" applyBorder="1" applyAlignment="1" applyProtection="1">
      <alignment/>
      <protection hidden="1"/>
    </xf>
    <xf numFmtId="177" fontId="2" fillId="0" borderId="12" xfId="0" applyNumberFormat="1" applyFont="1" applyFill="1" applyBorder="1" applyAlignment="1" applyProtection="1">
      <alignment/>
      <protection hidden="1"/>
    </xf>
    <xf numFmtId="190" fontId="1" fillId="0" borderId="19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24" fillId="5" borderId="0" xfId="0" applyFont="1" applyFill="1" applyAlignment="1" applyProtection="1">
      <alignment vertical="center"/>
      <protection hidden="1"/>
    </xf>
    <xf numFmtId="0" fontId="1" fillId="3" borderId="11" xfId="0" applyFont="1" applyFill="1" applyBorder="1" applyAlignment="1" applyProtection="1">
      <alignment horizontal="right"/>
      <protection hidden="1"/>
    </xf>
    <xf numFmtId="0" fontId="27" fillId="13" borderId="24" xfId="18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Continuous" vertical="center"/>
      <protection hidden="1"/>
    </xf>
    <xf numFmtId="0" fontId="9" fillId="5" borderId="19" xfId="0" applyFont="1" applyFill="1" applyBorder="1" applyAlignment="1" applyProtection="1">
      <alignment horizontal="centerContinuous" vertical="center"/>
      <protection hidden="1"/>
    </xf>
    <xf numFmtId="0" fontId="9" fillId="5" borderId="11" xfId="0" applyFont="1" applyFill="1" applyBorder="1" applyAlignment="1" applyProtection="1">
      <alignment horizontal="centerContinuous" vertical="center"/>
      <protection hidden="1"/>
    </xf>
    <xf numFmtId="4" fontId="1" fillId="4" borderId="0" xfId="0" applyNumberFormat="1" applyFont="1" applyFill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/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/>
      <protection hidden="1"/>
    </xf>
    <xf numFmtId="0" fontId="10" fillId="6" borderId="0" xfId="0" applyFont="1" applyFill="1" applyBorder="1" applyAlignment="1" applyProtection="1">
      <alignment vertical="center" wrapText="1"/>
      <protection hidden="1"/>
    </xf>
    <xf numFmtId="177" fontId="29" fillId="4" borderId="15" xfId="0" applyNumberFormat="1" applyFont="1" applyFill="1" applyBorder="1" applyAlignment="1" applyProtection="1">
      <alignment vertical="center"/>
      <protection locked="0"/>
    </xf>
    <xf numFmtId="0" fontId="33" fillId="10" borderId="10" xfId="0" applyFont="1" applyFill="1" applyBorder="1" applyAlignment="1" applyProtection="1">
      <alignment vertical="center"/>
      <protection hidden="1"/>
    </xf>
    <xf numFmtId="197" fontId="45" fillId="0" borderId="11" xfId="0" applyNumberFormat="1" applyFont="1" applyFill="1" applyBorder="1" applyAlignment="1" applyProtection="1">
      <alignment vertical="center"/>
      <protection hidden="1"/>
    </xf>
    <xf numFmtId="198" fontId="29" fillId="4" borderId="15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Alignment="1" applyProtection="1">
      <alignment/>
      <protection hidden="1"/>
    </xf>
    <xf numFmtId="0" fontId="25" fillId="7" borderId="25" xfId="0" applyFont="1" applyFill="1" applyBorder="1" applyAlignment="1" applyProtection="1">
      <alignment horizontal="left" vertical="center" wrapText="1"/>
      <protection locked="0"/>
    </xf>
    <xf numFmtId="0" fontId="25" fillId="7" borderId="26" xfId="0" applyFont="1" applyFill="1" applyBorder="1" applyAlignment="1" applyProtection="1">
      <alignment horizontal="left" vertical="center" wrapText="1"/>
      <protection locked="0"/>
    </xf>
    <xf numFmtId="0" fontId="25" fillId="7" borderId="27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hidden="1"/>
    </xf>
    <xf numFmtId="0" fontId="27" fillId="15" borderId="28" xfId="18" applyFont="1" applyFill="1" applyBorder="1" applyAlignment="1" applyProtection="1">
      <alignment horizontal="center" vertical="center"/>
      <protection locked="0"/>
    </xf>
    <xf numFmtId="0" fontId="27" fillId="15" borderId="29" xfId="1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textRotation="90" wrapText="1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3" xfId="0" applyFont="1" applyFill="1" applyBorder="1" applyAlignment="1" applyProtection="1">
      <alignment horizontal="justify" vertical="center"/>
      <protection hidden="1"/>
    </xf>
    <xf numFmtId="0" fontId="5" fillId="0" borderId="4" xfId="0" applyFont="1" applyFill="1" applyBorder="1" applyAlignment="1" applyProtection="1">
      <alignment horizontal="justify" vertical="center"/>
      <protection hidden="1"/>
    </xf>
    <xf numFmtId="0" fontId="5" fillId="0" borderId="6" xfId="0" applyFont="1" applyFill="1" applyBorder="1" applyAlignment="1" applyProtection="1">
      <alignment horizontal="justify" vertical="center"/>
      <protection hidden="1"/>
    </xf>
    <xf numFmtId="0" fontId="5" fillId="0" borderId="0" xfId="0" applyFont="1" applyFill="1" applyBorder="1" applyAlignment="1" applyProtection="1">
      <alignment horizontal="justify" vertical="center"/>
      <protection hidden="1"/>
    </xf>
    <xf numFmtId="0" fontId="5" fillId="0" borderId="7" xfId="0" applyFont="1" applyFill="1" applyBorder="1" applyAlignment="1" applyProtection="1">
      <alignment horizontal="justify" vertical="center"/>
      <protection hidden="1"/>
    </xf>
    <xf numFmtId="0" fontId="5" fillId="0" borderId="8" xfId="0" applyFont="1" applyFill="1" applyBorder="1" applyAlignment="1" applyProtection="1">
      <alignment horizontal="justify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196" fontId="31" fillId="0" borderId="0" xfId="0" applyNumberFormat="1" applyFont="1" applyFill="1" applyBorder="1" applyAlignment="1" applyProtection="1">
      <alignment horizontal="left" vertical="center"/>
      <protection hidden="1"/>
    </xf>
    <xf numFmtId="194" fontId="0" fillId="9" borderId="0" xfId="0" applyNumberFormat="1" applyFill="1" applyAlignment="1" applyProtection="1">
      <alignment horizontal="left"/>
      <protection hidden="1"/>
    </xf>
    <xf numFmtId="0" fontId="33" fillId="9" borderId="0" xfId="0" applyFont="1" applyFill="1" applyAlignment="1" applyProtection="1">
      <alignment horizontal="center"/>
      <protection hidden="1"/>
    </xf>
    <xf numFmtId="192" fontId="19" fillId="10" borderId="0" xfId="0" applyNumberFormat="1" applyFont="1" applyFill="1" applyAlignment="1" applyProtection="1">
      <alignment horizontal="left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0" fontId="1" fillId="4" borderId="4" xfId="0" applyFont="1" applyFill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horizontal="center" vertical="center" textRotation="90" wrapText="1"/>
      <protection hidden="1"/>
    </xf>
    <xf numFmtId="0" fontId="10" fillId="0" borderId="30" xfId="0" applyFont="1" applyBorder="1" applyAlignment="1" applyProtection="1">
      <alignment horizontal="center" vertical="center" textRotation="90" wrapText="1"/>
      <protection hidden="1"/>
    </xf>
    <xf numFmtId="0" fontId="10" fillId="0" borderId="31" xfId="0" applyFont="1" applyBorder="1" applyAlignment="1" applyProtection="1">
      <alignment horizontal="center" vertical="center" textRotation="90" wrapText="1"/>
      <protection hidden="1"/>
    </xf>
    <xf numFmtId="0" fontId="10" fillId="3" borderId="4" xfId="0" applyFont="1" applyFill="1" applyBorder="1" applyAlignment="1" applyProtection="1">
      <alignment wrapText="1"/>
      <protection hidden="1"/>
    </xf>
    <xf numFmtId="0" fontId="10" fillId="3" borderId="9" xfId="0" applyFont="1" applyFill="1" applyBorder="1" applyAlignment="1" applyProtection="1">
      <alignment wrapText="1"/>
      <protection hidden="1"/>
    </xf>
    <xf numFmtId="175" fontId="2" fillId="9" borderId="0" xfId="0" applyNumberFormat="1" applyFont="1" applyFill="1" applyAlignment="1" applyProtection="1">
      <alignment horizontal="left"/>
      <protection hidden="1"/>
    </xf>
    <xf numFmtId="175" fontId="2" fillId="9" borderId="32" xfId="0" applyNumberFormat="1" applyFont="1" applyFill="1" applyBorder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center" vertical="center" textRotation="90" wrapText="1"/>
      <protection hidden="1"/>
    </xf>
    <xf numFmtId="0" fontId="18" fillId="0" borderId="3" xfId="0" applyFont="1" applyBorder="1" applyAlignment="1" applyProtection="1">
      <alignment vertical="center" wrapText="1"/>
      <protection hidden="1"/>
    </xf>
    <xf numFmtId="0" fontId="18" fillId="0" borderId="6" xfId="0" applyFont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AEAEA"/>
      </font>
      <fill>
        <patternFill>
          <bgColor rgb="FFEAEAE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CDAE0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F1F3"/>
      <rgbColor rgb="00CCFFFF"/>
      <rgbColor rgb="00E8FBAD"/>
      <rgbColor rgb="00FFFFCC"/>
      <rgbColor rgb="00CCCCFF"/>
      <rgbColor rgb="00FF99CC"/>
      <rgbColor rgb="00CC99FF"/>
      <rgbColor rgb="00FDEA9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26</xdr:row>
      <xdr:rowOff>19050</xdr:rowOff>
    </xdr:from>
    <xdr:to>
      <xdr:col>13</xdr:col>
      <xdr:colOff>0</xdr:colOff>
      <xdr:row>39</xdr:row>
      <xdr:rowOff>28575</xdr:rowOff>
    </xdr:to>
    <xdr:sp>
      <xdr:nvSpPr>
        <xdr:cNvPr id="1" name="Line 30"/>
        <xdr:cNvSpPr>
          <a:spLocks/>
        </xdr:cNvSpPr>
      </xdr:nvSpPr>
      <xdr:spPr>
        <a:xfrm flipH="1">
          <a:off x="9886950" y="4029075"/>
          <a:ext cx="314325" cy="233362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13</xdr:col>
      <xdr:colOff>0</xdr:colOff>
      <xdr:row>42</xdr:row>
      <xdr:rowOff>28575</xdr:rowOff>
    </xdr:to>
    <xdr:sp>
      <xdr:nvSpPr>
        <xdr:cNvPr id="2" name="Line 31"/>
        <xdr:cNvSpPr>
          <a:spLocks/>
        </xdr:cNvSpPr>
      </xdr:nvSpPr>
      <xdr:spPr>
        <a:xfrm flipH="1">
          <a:off x="9877425" y="4714875"/>
          <a:ext cx="323850" cy="223837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1209675</xdr:colOff>
      <xdr:row>34</xdr:row>
      <xdr:rowOff>28575</xdr:rowOff>
    </xdr:from>
    <xdr:to>
      <xdr:col>13</xdr:col>
      <xdr:colOff>0</xdr:colOff>
      <xdr:row>43</xdr:row>
      <xdr:rowOff>28575</xdr:rowOff>
    </xdr:to>
    <xdr:sp>
      <xdr:nvSpPr>
        <xdr:cNvPr id="3" name="Line 32"/>
        <xdr:cNvSpPr>
          <a:spLocks/>
        </xdr:cNvSpPr>
      </xdr:nvSpPr>
      <xdr:spPr>
        <a:xfrm flipH="1">
          <a:off x="9867900" y="5467350"/>
          <a:ext cx="333375" cy="167640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1209675</xdr:colOff>
      <xdr:row>38</xdr:row>
      <xdr:rowOff>9525</xdr:rowOff>
    </xdr:from>
    <xdr:to>
      <xdr:col>13</xdr:col>
      <xdr:colOff>0</xdr:colOff>
      <xdr:row>44</xdr:row>
      <xdr:rowOff>19050</xdr:rowOff>
    </xdr:to>
    <xdr:sp>
      <xdr:nvSpPr>
        <xdr:cNvPr id="4" name="Line 33"/>
        <xdr:cNvSpPr>
          <a:spLocks/>
        </xdr:cNvSpPr>
      </xdr:nvSpPr>
      <xdr:spPr>
        <a:xfrm flipH="1">
          <a:off x="9867900" y="6181725"/>
          <a:ext cx="333375" cy="114300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19050</xdr:rowOff>
    </xdr:from>
    <xdr:to>
      <xdr:col>13</xdr:col>
      <xdr:colOff>0</xdr:colOff>
      <xdr:row>47</xdr:row>
      <xdr:rowOff>28575</xdr:rowOff>
    </xdr:to>
    <xdr:sp>
      <xdr:nvSpPr>
        <xdr:cNvPr id="5" name="Line 34"/>
        <xdr:cNvSpPr>
          <a:spLocks/>
        </xdr:cNvSpPr>
      </xdr:nvSpPr>
      <xdr:spPr>
        <a:xfrm flipH="1">
          <a:off x="9877425" y="7324725"/>
          <a:ext cx="323850" cy="59055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19050</xdr:rowOff>
    </xdr:from>
    <xdr:to>
      <xdr:col>13</xdr:col>
      <xdr:colOff>0</xdr:colOff>
      <xdr:row>48</xdr:row>
      <xdr:rowOff>19050</xdr:rowOff>
    </xdr:to>
    <xdr:sp>
      <xdr:nvSpPr>
        <xdr:cNvPr id="6" name="Line 35"/>
        <xdr:cNvSpPr>
          <a:spLocks/>
        </xdr:cNvSpPr>
      </xdr:nvSpPr>
      <xdr:spPr>
        <a:xfrm flipH="1">
          <a:off x="9877425" y="7905750"/>
          <a:ext cx="323850" cy="19050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49</xdr:row>
      <xdr:rowOff>19050</xdr:rowOff>
    </xdr:from>
    <xdr:to>
      <xdr:col>13</xdr:col>
      <xdr:colOff>0</xdr:colOff>
      <xdr:row>50</xdr:row>
      <xdr:rowOff>19050</xdr:rowOff>
    </xdr:to>
    <xdr:sp>
      <xdr:nvSpPr>
        <xdr:cNvPr id="7" name="Line 36"/>
        <xdr:cNvSpPr>
          <a:spLocks/>
        </xdr:cNvSpPr>
      </xdr:nvSpPr>
      <xdr:spPr>
        <a:xfrm flipH="1" flipV="1">
          <a:off x="9886950" y="8296275"/>
          <a:ext cx="314325" cy="19050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19050</xdr:rowOff>
    </xdr:from>
    <xdr:to>
      <xdr:col>12</xdr:col>
      <xdr:colOff>314325</xdr:colOff>
      <xdr:row>35</xdr:row>
      <xdr:rowOff>28575</xdr:rowOff>
    </xdr:to>
    <xdr:sp>
      <xdr:nvSpPr>
        <xdr:cNvPr id="8" name="Line 37"/>
        <xdr:cNvSpPr>
          <a:spLocks/>
        </xdr:cNvSpPr>
      </xdr:nvSpPr>
      <xdr:spPr>
        <a:xfrm flipH="1">
          <a:off x="9877425" y="2714625"/>
          <a:ext cx="314325" cy="291465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7</xdr:col>
      <xdr:colOff>0</xdr:colOff>
      <xdr:row>35</xdr:row>
      <xdr:rowOff>38100</xdr:rowOff>
    </xdr:to>
    <xdr:sp>
      <xdr:nvSpPr>
        <xdr:cNvPr id="9" name="Line 38"/>
        <xdr:cNvSpPr>
          <a:spLocks/>
        </xdr:cNvSpPr>
      </xdr:nvSpPr>
      <xdr:spPr>
        <a:xfrm flipH="1">
          <a:off x="4905375" y="4552950"/>
          <a:ext cx="323850" cy="108585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7</xdr:col>
      <xdr:colOff>0</xdr:colOff>
      <xdr:row>36</xdr:row>
      <xdr:rowOff>19050</xdr:rowOff>
    </xdr:to>
    <xdr:sp>
      <xdr:nvSpPr>
        <xdr:cNvPr id="10" name="Line 39"/>
        <xdr:cNvSpPr>
          <a:spLocks/>
        </xdr:cNvSpPr>
      </xdr:nvSpPr>
      <xdr:spPr>
        <a:xfrm flipH="1">
          <a:off x="4905375" y="4876800"/>
          <a:ext cx="323850" cy="93345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7</xdr:col>
      <xdr:colOff>9525</xdr:colOff>
      <xdr:row>37</xdr:row>
      <xdr:rowOff>19050</xdr:rowOff>
    </xdr:to>
    <xdr:sp>
      <xdr:nvSpPr>
        <xdr:cNvPr id="11" name="Line 40"/>
        <xdr:cNvSpPr>
          <a:spLocks/>
        </xdr:cNvSpPr>
      </xdr:nvSpPr>
      <xdr:spPr>
        <a:xfrm flipH="1">
          <a:off x="4905375" y="5610225"/>
          <a:ext cx="333375" cy="39052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28575</xdr:rowOff>
    </xdr:from>
    <xdr:to>
      <xdr:col>7</xdr:col>
      <xdr:colOff>0</xdr:colOff>
      <xdr:row>39</xdr:row>
      <xdr:rowOff>19050</xdr:rowOff>
    </xdr:to>
    <xdr:sp>
      <xdr:nvSpPr>
        <xdr:cNvPr id="12" name="Line 41"/>
        <xdr:cNvSpPr>
          <a:spLocks/>
        </xdr:cNvSpPr>
      </xdr:nvSpPr>
      <xdr:spPr>
        <a:xfrm flipH="1" flipV="1">
          <a:off x="4905375" y="6200775"/>
          <a:ext cx="323850" cy="15240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19050</xdr:rowOff>
    </xdr:from>
    <xdr:to>
      <xdr:col>7</xdr:col>
      <xdr:colOff>9525</xdr:colOff>
      <xdr:row>43</xdr:row>
      <xdr:rowOff>0</xdr:rowOff>
    </xdr:to>
    <xdr:sp>
      <xdr:nvSpPr>
        <xdr:cNvPr id="13" name="Line 42"/>
        <xdr:cNvSpPr>
          <a:spLocks/>
        </xdr:cNvSpPr>
      </xdr:nvSpPr>
      <xdr:spPr>
        <a:xfrm flipH="1" flipV="1">
          <a:off x="4914900" y="6943725"/>
          <a:ext cx="323850" cy="171450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44</xdr:row>
      <xdr:rowOff>9525</xdr:rowOff>
    </xdr:from>
    <xdr:to>
      <xdr:col>6</xdr:col>
      <xdr:colOff>314325</xdr:colOff>
      <xdr:row>49</xdr:row>
      <xdr:rowOff>19050</xdr:rowOff>
    </xdr:to>
    <xdr:sp>
      <xdr:nvSpPr>
        <xdr:cNvPr id="14" name="Line 43"/>
        <xdr:cNvSpPr>
          <a:spLocks/>
        </xdr:cNvSpPr>
      </xdr:nvSpPr>
      <xdr:spPr>
        <a:xfrm flipH="1" flipV="1">
          <a:off x="3829050" y="7315200"/>
          <a:ext cx="1390650" cy="98107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31</xdr:row>
      <xdr:rowOff>0</xdr:rowOff>
    </xdr:to>
    <xdr:sp>
      <xdr:nvSpPr>
        <xdr:cNvPr id="15" name="Line 53"/>
        <xdr:cNvSpPr>
          <a:spLocks/>
        </xdr:cNvSpPr>
      </xdr:nvSpPr>
      <xdr:spPr>
        <a:xfrm flipH="1">
          <a:off x="4905375" y="3000375"/>
          <a:ext cx="323850" cy="185737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32</xdr:row>
      <xdr:rowOff>0</xdr:rowOff>
    </xdr:to>
    <xdr:sp>
      <xdr:nvSpPr>
        <xdr:cNvPr id="16" name="Line 54"/>
        <xdr:cNvSpPr>
          <a:spLocks/>
        </xdr:cNvSpPr>
      </xdr:nvSpPr>
      <xdr:spPr>
        <a:xfrm flipH="1">
          <a:off x="4905375" y="3305175"/>
          <a:ext cx="323850" cy="1743075"/>
        </a:xfrm>
        <a:prstGeom prst="line">
          <a:avLst/>
        </a:prstGeom>
        <a:noFill/>
        <a:ln w="31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34"/>
  <sheetViews>
    <sheetView showGridLines="0" showRowColHeaders="0" zoomScale="140" zoomScaleNormal="140" workbookViewId="0" topLeftCell="A1">
      <selection activeCell="F20" sqref="F20"/>
    </sheetView>
  </sheetViews>
  <sheetFormatPr defaultColWidth="11.5546875" defaultRowHeight="15" zeroHeight="1"/>
  <cols>
    <col min="1" max="1" width="2.77734375" style="1" customWidth="1"/>
    <col min="2" max="2" width="18.77734375" style="1" customWidth="1"/>
    <col min="3" max="3" width="6.77734375" style="1" customWidth="1"/>
    <col min="4" max="4" width="2.77734375" style="1" customWidth="1"/>
    <col min="5" max="5" width="18.77734375" style="1" customWidth="1"/>
    <col min="6" max="6" width="6.77734375" style="1" customWidth="1"/>
    <col min="7" max="7" width="2.77734375" style="1" customWidth="1"/>
    <col min="8" max="8" width="2.77734375" style="1" hidden="1" customWidth="1"/>
    <col min="9" max="9" width="11.5546875" style="1" hidden="1" customWidth="1"/>
    <col min="10" max="16384" width="0" style="1" hidden="1" customWidth="1"/>
  </cols>
  <sheetData>
    <row r="1" spans="1:8" ht="22.5">
      <c r="A1" s="263" t="s">
        <v>68</v>
      </c>
      <c r="B1" s="263"/>
      <c r="C1" s="263"/>
      <c r="D1" s="263"/>
      <c r="E1" s="263"/>
      <c r="F1" s="263"/>
      <c r="G1" s="263"/>
      <c r="H1" s="263"/>
    </row>
    <row r="2" spans="1:8" ht="12" customHeight="1">
      <c r="A2" s="95"/>
      <c r="B2" s="95"/>
      <c r="C2" s="95"/>
      <c r="D2" s="95"/>
      <c r="E2" s="95"/>
      <c r="F2" s="95"/>
      <c r="G2" s="95"/>
      <c r="H2" s="95"/>
    </row>
    <row r="3" spans="1:9" ht="12" customHeight="1">
      <c r="A3" s="96"/>
      <c r="B3" s="230" t="s">
        <v>65</v>
      </c>
      <c r="C3" s="231" t="s">
        <v>69</v>
      </c>
      <c r="D3" s="96"/>
      <c r="E3" s="96"/>
      <c r="F3" s="96"/>
      <c r="G3" s="96"/>
      <c r="H3" s="96"/>
      <c r="I3" s="97"/>
    </row>
    <row r="4" spans="1:8" ht="6" customHeight="1">
      <c r="A4" s="95"/>
      <c r="B4" s="95"/>
      <c r="C4" s="95"/>
      <c r="D4" s="95"/>
      <c r="E4" s="95"/>
      <c r="F4" s="95"/>
      <c r="G4" s="95"/>
      <c r="H4" s="95"/>
    </row>
    <row r="5" spans="1:8" ht="1.5" customHeight="1">
      <c r="A5" s="122"/>
      <c r="B5" s="122"/>
      <c r="C5" s="122"/>
      <c r="D5" s="122"/>
      <c r="E5" s="122"/>
      <c r="F5" s="122"/>
      <c r="G5" s="122"/>
      <c r="H5" s="95"/>
    </row>
    <row r="6" spans="1:9" ht="15.75" customHeight="1">
      <c r="A6" s="123"/>
      <c r="B6" s="123" t="s">
        <v>51</v>
      </c>
      <c r="C6" s="260" t="s">
        <v>125</v>
      </c>
      <c r="D6" s="261"/>
      <c r="E6" s="262"/>
      <c r="F6" s="124"/>
      <c r="G6" s="124"/>
      <c r="H6" s="98"/>
      <c r="I6" s="99"/>
    </row>
    <row r="7" spans="1:9" ht="3" customHeight="1">
      <c r="A7" s="125"/>
      <c r="B7" s="125"/>
      <c r="C7" s="100"/>
      <c r="D7" s="100"/>
      <c r="E7" s="100"/>
      <c r="F7" s="126"/>
      <c r="G7" s="126"/>
      <c r="H7" s="96"/>
      <c r="I7" s="97"/>
    </row>
    <row r="8" spans="1:9" ht="3.75" customHeight="1">
      <c r="A8" s="42"/>
      <c r="B8" s="101"/>
      <c r="C8" s="101"/>
      <c r="D8" s="102"/>
      <c r="E8" s="102"/>
      <c r="F8" s="102"/>
      <c r="G8" s="127"/>
      <c r="H8" s="96"/>
      <c r="I8" s="97"/>
    </row>
    <row r="9" spans="1:9" ht="22.5">
      <c r="A9" s="104"/>
      <c r="B9" s="128" t="s">
        <v>66</v>
      </c>
      <c r="C9" s="92" t="s">
        <v>126</v>
      </c>
      <c r="D9" s="129"/>
      <c r="E9" s="129"/>
      <c r="F9" s="129"/>
      <c r="G9" s="107"/>
      <c r="H9" s="103"/>
      <c r="I9" s="36"/>
    </row>
    <row r="10" spans="1:9" ht="3" customHeight="1">
      <c r="A10" s="104"/>
      <c r="B10" s="130"/>
      <c r="C10" s="105"/>
      <c r="D10" s="105"/>
      <c r="E10" s="106"/>
      <c r="F10" s="106"/>
      <c r="G10" s="107"/>
      <c r="H10" s="103"/>
      <c r="I10" s="36"/>
    </row>
    <row r="11" spans="1:9" ht="15">
      <c r="A11" s="104"/>
      <c r="B11" s="128" t="s">
        <v>1</v>
      </c>
      <c r="C11" s="91">
        <v>24000</v>
      </c>
      <c r="D11" s="107"/>
      <c r="E11" s="107"/>
      <c r="F11" s="107"/>
      <c r="G11" s="107"/>
      <c r="H11" s="103"/>
      <c r="I11" s="36"/>
    </row>
    <row r="12" spans="1:9" ht="3" customHeight="1">
      <c r="A12" s="104"/>
      <c r="B12" s="128"/>
      <c r="C12" s="107"/>
      <c r="D12" s="107"/>
      <c r="E12" s="107"/>
      <c r="F12" s="107"/>
      <c r="G12" s="107"/>
      <c r="H12" s="103"/>
      <c r="I12" s="36"/>
    </row>
    <row r="13" spans="1:9" ht="15">
      <c r="A13" s="104"/>
      <c r="B13" s="128" t="s">
        <v>2</v>
      </c>
      <c r="C13" s="92">
        <v>1996</v>
      </c>
      <c r="D13" s="107"/>
      <c r="E13" s="128" t="s">
        <v>55</v>
      </c>
      <c r="F13" s="94">
        <v>100</v>
      </c>
      <c r="G13" s="107"/>
      <c r="H13" s="103"/>
      <c r="I13" s="36"/>
    </row>
    <row r="14" spans="1:9" ht="3" customHeight="1">
      <c r="A14" s="104"/>
      <c r="B14" s="128"/>
      <c r="C14" s="107"/>
      <c r="D14" s="107"/>
      <c r="E14" s="107"/>
      <c r="F14" s="107"/>
      <c r="G14" s="107"/>
      <c r="H14" s="103"/>
      <c r="I14" s="36"/>
    </row>
    <row r="15" spans="1:9" ht="15">
      <c r="A15" s="104"/>
      <c r="B15" s="128" t="s">
        <v>3</v>
      </c>
      <c r="C15" s="93">
        <v>20</v>
      </c>
      <c r="D15" s="107"/>
      <c r="E15" s="131" t="s">
        <v>56</v>
      </c>
      <c r="F15" s="92">
        <v>2006</v>
      </c>
      <c r="G15" s="107"/>
      <c r="H15" s="103"/>
      <c r="I15" s="36"/>
    </row>
    <row r="16" spans="1:9" ht="13.5" customHeight="1">
      <c r="A16" s="104"/>
      <c r="B16" s="232" t="s">
        <v>57</v>
      </c>
      <c r="C16" s="233"/>
      <c r="D16" s="233"/>
      <c r="E16" s="232"/>
      <c r="F16" s="232"/>
      <c r="G16" s="107"/>
      <c r="H16" s="103"/>
      <c r="I16" s="36"/>
    </row>
    <row r="17" spans="1:9" ht="15" customHeight="1">
      <c r="A17" s="104"/>
      <c r="B17" s="128" t="s">
        <v>25</v>
      </c>
      <c r="C17" s="108"/>
      <c r="D17" s="107"/>
      <c r="E17" s="131"/>
      <c r="F17" s="107"/>
      <c r="G17" s="107"/>
      <c r="H17" s="103"/>
      <c r="I17" s="36"/>
    </row>
    <row r="18" spans="1:9" ht="12" customHeight="1">
      <c r="A18" s="104"/>
      <c r="B18" s="108" t="s">
        <v>54</v>
      </c>
      <c r="C18" s="109">
        <v>0.01</v>
      </c>
      <c r="D18" s="107"/>
      <c r="E18" s="128" t="s">
        <v>27</v>
      </c>
      <c r="F18" s="109">
        <v>0.03</v>
      </c>
      <c r="G18" s="107"/>
      <c r="H18" s="103"/>
      <c r="I18" s="36"/>
    </row>
    <row r="19" spans="1:9" ht="3" customHeight="1">
      <c r="A19" s="104"/>
      <c r="B19" s="108"/>
      <c r="C19" s="107"/>
      <c r="D19" s="107"/>
      <c r="E19" s="128"/>
      <c r="F19" s="107"/>
      <c r="G19" s="107"/>
      <c r="H19" s="103"/>
      <c r="I19" s="36"/>
    </row>
    <row r="20" spans="1:9" ht="12" customHeight="1">
      <c r="A20" s="104"/>
      <c r="B20" s="108" t="s">
        <v>52</v>
      </c>
      <c r="C20" s="91"/>
      <c r="D20" s="107"/>
      <c r="E20" s="128" t="s">
        <v>58</v>
      </c>
      <c r="F20" s="91">
        <v>4.76</v>
      </c>
      <c r="G20" s="107"/>
      <c r="H20" s="103"/>
      <c r="I20" s="36"/>
    </row>
    <row r="21" spans="1:9" ht="15" customHeight="1">
      <c r="A21" s="104"/>
      <c r="B21" s="229" t="s">
        <v>111</v>
      </c>
      <c r="C21" s="108"/>
      <c r="D21" s="107"/>
      <c r="E21" s="128"/>
      <c r="F21" s="107"/>
      <c r="G21" s="107"/>
      <c r="H21" s="103"/>
      <c r="I21" s="36"/>
    </row>
    <row r="22" spans="1:9" ht="15" customHeight="1">
      <c r="A22" s="104"/>
      <c r="B22" s="128" t="s">
        <v>26</v>
      </c>
      <c r="C22" s="128"/>
      <c r="D22" s="107"/>
      <c r="E22" s="132" t="s">
        <v>59</v>
      </c>
      <c r="F22" s="228">
        <v>0.008</v>
      </c>
      <c r="G22" s="107"/>
      <c r="H22" s="103"/>
      <c r="I22" s="36"/>
    </row>
    <row r="23" spans="1:9" ht="1.5" customHeight="1">
      <c r="A23" s="104"/>
      <c r="B23" s="128"/>
      <c r="C23" s="128"/>
      <c r="D23" s="107"/>
      <c r="E23" s="132"/>
      <c r="F23" s="132"/>
      <c r="G23" s="107"/>
      <c r="H23" s="103"/>
      <c r="I23" s="36"/>
    </row>
    <row r="24" spans="1:9" ht="12" customHeight="1">
      <c r="A24" s="104"/>
      <c r="B24" s="108" t="s">
        <v>53</v>
      </c>
      <c r="C24" s="109">
        <v>0.01</v>
      </c>
      <c r="D24" s="107"/>
      <c r="E24" s="132"/>
      <c r="F24" s="132"/>
      <c r="G24" s="107"/>
      <c r="H24" s="103"/>
      <c r="I24" s="36"/>
    </row>
    <row r="25" spans="1:9" ht="3" customHeight="1">
      <c r="A25" s="104"/>
      <c r="B25" s="108"/>
      <c r="C25" s="107"/>
      <c r="D25" s="107"/>
      <c r="E25" s="264" t="s">
        <v>74</v>
      </c>
      <c r="F25" s="107"/>
      <c r="G25" s="107"/>
      <c r="H25" s="103"/>
      <c r="I25" s="36"/>
    </row>
    <row r="26" spans="1:9" ht="12" customHeight="1">
      <c r="A26" s="104"/>
      <c r="B26" s="108" t="s">
        <v>52</v>
      </c>
      <c r="C26" s="91"/>
      <c r="D26" s="107"/>
      <c r="E26" s="265"/>
      <c r="F26" s="107"/>
      <c r="G26" s="107"/>
      <c r="H26" s="103"/>
      <c r="I26" s="36"/>
    </row>
    <row r="27" spans="1:9" ht="15" customHeight="1">
      <c r="A27" s="133"/>
      <c r="B27" s="229" t="s">
        <v>111</v>
      </c>
      <c r="C27" s="111"/>
      <c r="D27" s="112"/>
      <c r="E27" s="107"/>
      <c r="F27" s="112"/>
      <c r="G27" s="112"/>
      <c r="H27" s="110"/>
      <c r="I27" s="113"/>
    </row>
    <row r="28" ht="15">
      <c r="A28" s="234" t="s">
        <v>110</v>
      </c>
    </row>
    <row r="29" spans="1:7" ht="6" customHeight="1">
      <c r="A29" s="137"/>
      <c r="B29" s="137"/>
      <c r="C29" s="137"/>
      <c r="D29" s="137"/>
      <c r="E29" s="137"/>
      <c r="F29" s="137"/>
      <c r="G29" s="137"/>
    </row>
    <row r="30" ht="15" hidden="1"/>
    <row r="31" ht="1.5" customHeight="1" hidden="1"/>
    <row r="32" ht="15" hidden="1"/>
    <row r="33" ht="3.75" customHeight="1" hidden="1"/>
    <row r="34" spans="1:9" ht="15" hidden="1">
      <c r="A34" s="36"/>
      <c r="B34" s="36"/>
      <c r="C34" s="36"/>
      <c r="D34" s="36"/>
      <c r="E34" s="36"/>
      <c r="F34" s="36"/>
      <c r="G34" s="36"/>
      <c r="H34" s="36"/>
      <c r="I34" s="36"/>
    </row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 sheet="1" objects="1" scenarios="1" selectLockedCells="1"/>
  <mergeCells count="3">
    <mergeCell ref="C6:E6"/>
    <mergeCell ref="A1:H1"/>
    <mergeCell ref="E25:E26"/>
  </mergeCells>
  <conditionalFormatting sqref="C18">
    <cfRule type="expression" priority="1" dxfId="0" stopIfTrue="1">
      <formula>$C$20&lt;&gt;""</formula>
    </cfRule>
  </conditionalFormatting>
  <conditionalFormatting sqref="C24">
    <cfRule type="expression" priority="2" dxfId="0" stopIfTrue="1">
      <formula>$C$26&lt;&gt;""</formula>
    </cfRule>
  </conditionalFormatting>
  <hyperlinks>
    <hyperlink ref="E25" location="Maschinenkosten!A1" tooltip="Weiter zur Berechnung der Maschinenkosten!" display="Berechnung"/>
  </hyperlinks>
  <printOptions/>
  <pageMargins left="0.75" right="0.75" top="1" bottom="1" header="0.4921259845" footer="0.4921259845"/>
  <pageSetup blackAndWhite="1" horizontalDpi="600" verticalDpi="600"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showGridLines="0" showRowColHeaders="0" tabSelected="1" zoomScale="140" zoomScaleNormal="140" workbookViewId="0" topLeftCell="A1">
      <pane ySplit="5" topLeftCell="BM21" activePane="bottomLeft" state="frozen"/>
      <selection pane="topLeft" activeCell="A1" sqref="A1"/>
      <selection pane="bottomLeft" activeCell="F29" sqref="F29"/>
    </sheetView>
  </sheetViews>
  <sheetFormatPr defaultColWidth="11.5546875" defaultRowHeight="15" zeroHeight="1"/>
  <cols>
    <col min="1" max="1" width="2.77734375" style="1" customWidth="1"/>
    <col min="2" max="2" width="20.77734375" style="1" customWidth="1"/>
    <col min="3" max="3" width="5.77734375" style="1" customWidth="1"/>
    <col min="4" max="4" width="12.77734375" style="1" customWidth="1"/>
    <col min="5" max="5" width="4.6640625" style="1" customWidth="1"/>
    <col min="6" max="6" width="11.5546875" style="1" customWidth="1"/>
    <col min="7" max="7" width="2.77734375" style="1" customWidth="1"/>
    <col min="8" max="8" width="14.77734375" style="1" customWidth="1"/>
    <col min="9" max="9" width="1.77734375" style="1" customWidth="1"/>
    <col min="10" max="16384" width="11.5546875" style="1" hidden="1" customWidth="1"/>
  </cols>
  <sheetData>
    <row r="1" spans="1:9" ht="30" customHeight="1">
      <c r="A1" s="141"/>
      <c r="B1" s="142"/>
      <c r="C1" s="142" t="s">
        <v>71</v>
      </c>
      <c r="D1" s="143" t="str">
        <f>CONCATENATE(Dateneingabe!C6," - ",Dateneingabe!C9)</f>
        <v>Traktor - 35 kW (48 PS)</v>
      </c>
      <c r="E1" s="144"/>
      <c r="F1" s="145"/>
      <c r="G1" s="146"/>
      <c r="H1" s="140" t="s">
        <v>75</v>
      </c>
      <c r="I1" s="137"/>
    </row>
    <row r="2" spans="1:9" ht="30" customHeight="1" thickBot="1">
      <c r="A2" s="110"/>
      <c r="B2" s="110"/>
      <c r="C2" s="110"/>
      <c r="D2" s="259"/>
      <c r="E2" s="110"/>
      <c r="F2" s="110"/>
      <c r="G2" s="110"/>
      <c r="H2" s="133"/>
      <c r="I2" s="137"/>
    </row>
    <row r="3" spans="1:9" ht="16.5" customHeight="1" thickBot="1">
      <c r="A3" s="110"/>
      <c r="C3" s="134" t="s">
        <v>72</v>
      </c>
      <c r="D3" s="149" t="s">
        <v>76</v>
      </c>
      <c r="E3"/>
      <c r="F3"/>
      <c r="G3" s="110"/>
      <c r="H3" s="135" t="s">
        <v>106</v>
      </c>
      <c r="I3" s="137"/>
    </row>
    <row r="4" spans="1:9" ht="4.5" customHeight="1">
      <c r="A4" s="110"/>
      <c r="C4" s="134"/>
      <c r="D4" s="110"/>
      <c r="E4"/>
      <c r="F4"/>
      <c r="G4" s="110"/>
      <c r="H4" s="133"/>
      <c r="I4" s="137"/>
    </row>
    <row r="5" spans="1:9" ht="16.5" customHeight="1">
      <c r="A5" s="110"/>
      <c r="B5" s="110"/>
      <c r="C5" s="110"/>
      <c r="D5" s="110"/>
      <c r="E5" s="110"/>
      <c r="F5" s="110"/>
      <c r="G5" s="110"/>
      <c r="H5" s="135" t="s">
        <v>73</v>
      </c>
      <c r="I5" s="137"/>
    </row>
    <row r="6" spans="1:9" ht="15">
      <c r="A6" s="114"/>
      <c r="B6" s="38" t="s">
        <v>0</v>
      </c>
      <c r="C6" s="38"/>
      <c r="D6" s="38"/>
      <c r="E6" s="38"/>
      <c r="F6" s="38"/>
      <c r="G6" s="114"/>
      <c r="H6" s="136"/>
      <c r="I6" s="137"/>
    </row>
    <row r="7" spans="1:9" ht="15">
      <c r="A7" s="114"/>
      <c r="B7" s="37" t="s">
        <v>1</v>
      </c>
      <c r="C7" s="37"/>
      <c r="D7" s="155">
        <f>IF(Dateneingabe!C11="","",Dateneingabe!C11)</f>
        <v>24000</v>
      </c>
      <c r="E7" s="268" t="s">
        <v>20</v>
      </c>
      <c r="F7" s="269"/>
      <c r="G7" s="114"/>
      <c r="H7" s="136"/>
      <c r="I7" s="137"/>
    </row>
    <row r="8" spans="1:9" ht="15">
      <c r="A8" s="114"/>
      <c r="B8" s="37" t="s">
        <v>2</v>
      </c>
      <c r="C8" s="37"/>
      <c r="D8" s="156">
        <f>IF(Dateneingabe!C13="","",Dateneingabe!C13)</f>
        <v>1996</v>
      </c>
      <c r="E8" s="270"/>
      <c r="F8" s="271"/>
      <c r="G8" s="114"/>
      <c r="H8" s="136"/>
      <c r="I8" s="137"/>
    </row>
    <row r="9" spans="1:9" ht="15">
      <c r="A9" s="114"/>
      <c r="B9" s="37" t="s">
        <v>3</v>
      </c>
      <c r="C9" s="37"/>
      <c r="D9" s="157">
        <f>IF(Dateneingabe!C15="","",Dateneingabe!C15)</f>
        <v>20</v>
      </c>
      <c r="E9" s="270"/>
      <c r="F9" s="271"/>
      <c r="G9" s="114"/>
      <c r="H9" s="136"/>
      <c r="I9" s="137"/>
    </row>
    <row r="10" spans="1:9" ht="15.75" thickBot="1">
      <c r="A10" s="114"/>
      <c r="B10" s="37" t="s">
        <v>4</v>
      </c>
      <c r="C10" s="37"/>
      <c r="D10" s="223">
        <f>IF(Dateneingabe!F13="","",Dateneingabe!F13)</f>
        <v>100</v>
      </c>
      <c r="E10" s="270"/>
      <c r="F10" s="271"/>
      <c r="G10" s="114"/>
      <c r="H10" s="136"/>
      <c r="I10" s="137"/>
    </row>
    <row r="11" spans="1:9" ht="15.75" thickBot="1">
      <c r="A11" s="114"/>
      <c r="B11" s="37" t="s">
        <v>114</v>
      </c>
      <c r="C11" s="37"/>
      <c r="D11" s="255">
        <v>10</v>
      </c>
      <c r="E11" s="272"/>
      <c r="F11" s="271"/>
      <c r="G11" s="114"/>
      <c r="H11" s="136"/>
      <c r="I11" s="137"/>
    </row>
    <row r="12" spans="1:9" ht="15.75" thickBot="1">
      <c r="A12" s="114"/>
      <c r="B12" s="37" t="s">
        <v>5</v>
      </c>
      <c r="C12" s="222">
        <f>IF(Dateneingabe!F15="","",Dateneingabe!F15)</f>
        <v>2006</v>
      </c>
      <c r="D12" s="147">
        <v>12000</v>
      </c>
      <c r="E12" s="273"/>
      <c r="F12" s="274"/>
      <c r="G12" s="114"/>
      <c r="H12" s="136"/>
      <c r="I12" s="137"/>
    </row>
    <row r="13" spans="1:9" ht="9.75" customHeight="1">
      <c r="A13" s="110"/>
      <c r="B13" s="110"/>
      <c r="C13" s="110"/>
      <c r="D13" s="110"/>
      <c r="E13" s="110"/>
      <c r="F13" s="110"/>
      <c r="G13" s="110"/>
      <c r="H13" s="133"/>
      <c r="I13" s="137"/>
    </row>
    <row r="14" spans="1:9" ht="15.75" thickBot="1">
      <c r="A14" s="114"/>
      <c r="B14" s="38" t="s">
        <v>6</v>
      </c>
      <c r="C14" s="151" t="s">
        <v>70</v>
      </c>
      <c r="D14" s="151" t="s">
        <v>67</v>
      </c>
      <c r="E14" s="152"/>
      <c r="F14" s="151" t="s">
        <v>79</v>
      </c>
      <c r="G14" s="114"/>
      <c r="H14" s="136"/>
      <c r="I14" s="137"/>
    </row>
    <row r="15" spans="1:9" ht="15.75" thickBot="1">
      <c r="A15" s="114"/>
      <c r="B15" s="37" t="s">
        <v>21</v>
      </c>
      <c r="C15" s="150">
        <f>IF(D15="","",100/D9)</f>
        <v>5</v>
      </c>
      <c r="D15" s="147">
        <v>1200</v>
      </c>
      <c r="E15" s="266" t="s">
        <v>18</v>
      </c>
      <c r="F15" s="221">
        <f>IF(D15="","Afa fehlt!",D15)</f>
        <v>1200</v>
      </c>
      <c r="G15" s="114"/>
      <c r="H15" s="136"/>
      <c r="I15" s="137"/>
    </row>
    <row r="16" spans="1:9" ht="15.75" thickBot="1">
      <c r="A16" s="114"/>
      <c r="B16" s="37" t="str">
        <f>IF(Dateneingabe!C20&lt;&gt;"","Unterbringung (U) = "&amp;DOLLAR(Dateneingabe!C20,2),"Unterbringung (U)")</f>
        <v>Unterbringung (U)</v>
      </c>
      <c r="C16" s="158">
        <f>IF(OR(Dateneingabe!C18="",Dateneingabe!C20&lt;&gt;""),"",Dateneingabe!C18)</f>
        <v>0.01</v>
      </c>
      <c r="D16" s="147">
        <v>240</v>
      </c>
      <c r="E16" s="267"/>
      <c r="F16" s="221">
        <f>IF(D16="","U in € fehlt!",D16)</f>
        <v>240</v>
      </c>
      <c r="G16" s="115"/>
      <c r="H16" s="136"/>
      <c r="I16" s="137"/>
    </row>
    <row r="17" spans="1:9" ht="15.75" thickBot="1">
      <c r="A17" s="114"/>
      <c r="B17" s="37" t="str">
        <f>IF(Dateneingabe!C26&lt;&gt;"","Versicherung (V) = "&amp;DOLLAR(Dateneingabe!C26,2),"Versicherung (V)")</f>
        <v>Versicherung (V)</v>
      </c>
      <c r="C17" s="158">
        <f>IF(OR(Dateneingabe!C24="",Dateneingabe!C26&lt;&gt;""),"",Dateneingabe!C24)</f>
        <v>0.01</v>
      </c>
      <c r="D17" s="147">
        <v>240</v>
      </c>
      <c r="E17" s="267"/>
      <c r="F17" s="221">
        <f>IF(D17="","V in € fehlt!",D17)</f>
        <v>240</v>
      </c>
      <c r="G17" s="115"/>
      <c r="H17" s="136"/>
      <c r="I17" s="137"/>
    </row>
    <row r="18" spans="1:9" ht="15.75" thickBot="1">
      <c r="A18" s="114"/>
      <c r="B18" s="37" t="s">
        <v>9</v>
      </c>
      <c r="C18" s="158">
        <f>IF(Dateneingabe!F18="","",Dateneingabe!F18)</f>
        <v>0.03</v>
      </c>
      <c r="D18" s="147">
        <v>720</v>
      </c>
      <c r="E18" s="267"/>
      <c r="F18" s="224">
        <f>IF(D18="","Z in € fehlt!",D18)</f>
        <v>720</v>
      </c>
      <c r="G18" s="115"/>
      <c r="H18" s="136"/>
      <c r="I18" s="137"/>
    </row>
    <row r="19" spans="1:9" ht="15.75" thickBot="1">
      <c r="A19" s="114"/>
      <c r="B19" s="116"/>
      <c r="C19" s="116"/>
      <c r="D19" s="116"/>
      <c r="E19" s="117" t="s">
        <v>10</v>
      </c>
      <c r="F19" s="153">
        <f>SUM(F15:F18)</f>
        <v>2400</v>
      </c>
      <c r="G19" s="114"/>
      <c r="H19" s="136"/>
      <c r="I19" s="137"/>
    </row>
    <row r="20" spans="1:9" ht="9.75" customHeight="1">
      <c r="A20" s="110"/>
      <c r="B20" s="110"/>
      <c r="C20" s="110"/>
      <c r="D20" s="110"/>
      <c r="E20" s="110"/>
      <c r="F20" s="110"/>
      <c r="G20" s="110"/>
      <c r="H20" s="133"/>
      <c r="I20" s="137"/>
    </row>
    <row r="21" spans="1:9" ht="15.75" thickBot="1">
      <c r="A21" s="114"/>
      <c r="B21" s="38" t="s">
        <v>11</v>
      </c>
      <c r="C21" s="151" t="s">
        <v>70</v>
      </c>
      <c r="D21" s="151" t="s">
        <v>80</v>
      </c>
      <c r="E21" s="152"/>
      <c r="F21" s="151" t="s">
        <v>79</v>
      </c>
      <c r="G21" s="114"/>
      <c r="H21" s="136"/>
      <c r="I21" s="137"/>
    </row>
    <row r="22" spans="1:9" ht="15.75" thickBot="1">
      <c r="A22" s="114"/>
      <c r="B22" s="37" t="s">
        <v>12</v>
      </c>
      <c r="C22" s="37"/>
      <c r="D22" s="159">
        <f>IF(Dateneingabe!F20="","",Dateneingabe!F20)</f>
        <v>4.76</v>
      </c>
      <c r="E22" s="266" t="s">
        <v>19</v>
      </c>
      <c r="F22" s="148"/>
      <c r="G22" s="114"/>
      <c r="H22" s="136"/>
      <c r="I22" s="137"/>
    </row>
    <row r="23" spans="1:9" ht="15.75" thickBot="1">
      <c r="A23" s="114"/>
      <c r="B23" s="118">
        <v>100</v>
      </c>
      <c r="C23" s="158">
        <f>IF(Dateneingabe!F22="","",Dateneingabe!F22)</f>
        <v>0.008</v>
      </c>
      <c r="D23" s="258"/>
      <c r="E23" s="267"/>
      <c r="F23" s="148"/>
      <c r="G23" s="114"/>
      <c r="H23" s="136"/>
      <c r="I23" s="137"/>
    </row>
    <row r="24" spans="1:9" ht="15.75" thickBot="1">
      <c r="A24" s="114"/>
      <c r="B24" s="119"/>
      <c r="C24" s="119"/>
      <c r="D24" s="119"/>
      <c r="E24" s="117" t="s">
        <v>13</v>
      </c>
      <c r="F24" s="153"/>
      <c r="G24" s="114"/>
      <c r="H24" s="136"/>
      <c r="I24" s="137"/>
    </row>
    <row r="25" spans="1:9" ht="15">
      <c r="A25" s="110"/>
      <c r="B25" s="110"/>
      <c r="C25" s="110"/>
      <c r="D25" s="110"/>
      <c r="E25" s="110"/>
      <c r="F25" s="110"/>
      <c r="G25" s="110"/>
      <c r="H25" s="133"/>
      <c r="I25" s="137"/>
    </row>
    <row r="26" spans="1:9" ht="15.75" thickBot="1">
      <c r="A26" s="114"/>
      <c r="B26" s="38" t="s">
        <v>14</v>
      </c>
      <c r="C26" s="38"/>
      <c r="D26" s="38"/>
      <c r="E26" s="38"/>
      <c r="F26" s="151" t="s">
        <v>81</v>
      </c>
      <c r="G26" s="114"/>
      <c r="H26" s="136"/>
      <c r="I26" s="137"/>
    </row>
    <row r="27" spans="1:9" ht="15.75" thickBot="1">
      <c r="A27" s="114"/>
      <c r="B27" s="120" t="s">
        <v>15</v>
      </c>
      <c r="C27" s="120"/>
      <c r="D27" s="120"/>
      <c r="E27" s="120"/>
      <c r="F27" s="147">
        <v>24</v>
      </c>
      <c r="G27" s="114"/>
      <c r="H27" s="136"/>
      <c r="I27" s="137"/>
    </row>
    <row r="28" spans="1:9" ht="15.75" thickBot="1">
      <c r="A28" s="114"/>
      <c r="B28" s="120" t="s">
        <v>16</v>
      </c>
      <c r="C28" s="120"/>
      <c r="D28" s="120"/>
      <c r="E28" s="120"/>
      <c r="F28" s="147"/>
      <c r="G28" s="114"/>
      <c r="H28" s="136"/>
      <c r="I28" s="137"/>
    </row>
    <row r="29" spans="1:9" ht="15.75" thickBot="1">
      <c r="A29" s="114"/>
      <c r="B29" s="121" t="s">
        <v>17</v>
      </c>
      <c r="C29" s="121"/>
      <c r="D29" s="121"/>
      <c r="E29" s="121"/>
      <c r="F29" s="154"/>
      <c r="G29" s="114"/>
      <c r="H29" s="137"/>
      <c r="I29" s="137"/>
    </row>
    <row r="30" spans="1:9" ht="15">
      <c r="A30" s="95"/>
      <c r="B30" s="95"/>
      <c r="C30" s="95"/>
      <c r="D30" s="95"/>
      <c r="E30" s="95"/>
      <c r="F30" s="95"/>
      <c r="G30" s="95"/>
      <c r="H30" s="137"/>
      <c r="I30" s="137"/>
    </row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 sheet="1" objects="1" scenarios="1"/>
  <mergeCells count="3">
    <mergeCell ref="E22:E23"/>
    <mergeCell ref="E7:F12"/>
    <mergeCell ref="E15:E18"/>
  </mergeCells>
  <conditionalFormatting sqref="F16">
    <cfRule type="cellIs" priority="1" dxfId="1" operator="equal" stopIfTrue="1">
      <formula>"U in € fehlt!"</formula>
    </cfRule>
  </conditionalFormatting>
  <conditionalFormatting sqref="F17">
    <cfRule type="cellIs" priority="2" dxfId="1" operator="equal" stopIfTrue="1">
      <formula>"V in € fehlt!"</formula>
    </cfRule>
  </conditionalFormatting>
  <conditionalFormatting sqref="F18">
    <cfRule type="cellIs" priority="3" dxfId="1" operator="equal" stopIfTrue="1">
      <formula>"Z in € fehlt!"</formula>
    </cfRule>
  </conditionalFormatting>
  <conditionalFormatting sqref="F15 D12">
    <cfRule type="cellIs" priority="4" dxfId="1" operator="equal" stopIfTrue="1">
      <formula>"Afa fehlt!"</formula>
    </cfRule>
  </conditionalFormatting>
  <conditionalFormatting sqref="C15">
    <cfRule type="expression" priority="5" dxfId="2" stopIfTrue="1">
      <formula>$D$15=0</formula>
    </cfRule>
  </conditionalFormatting>
  <hyperlinks>
    <hyperlink ref="H5" location="Hilfe!A1" tooltip="Hier kannst du dir die Formeln und die Ergebnisse zur Berechnung des Beispiels ansehen!" display="Hilfe"/>
    <hyperlink ref="H1" location="Dateneingabe!A1" display="Dateneingabe"/>
    <hyperlink ref="H3" location="Korrektur!A1" tooltip="Jetzt kannst du dein Ergebnis ansehen!" display="Korrektur ►"/>
  </hyperlinks>
  <printOptions horizontalCentered="1"/>
  <pageMargins left="0.5905511811023623" right="0.5905511811023623" top="0.984251968503937" bottom="0.5905511811023623" header="0.3937007874015748" footer="0.5118110236220472"/>
  <pageSetup blackAndWhite="1" horizontalDpi="600" verticalDpi="600" orientation="portrait" paperSize="9" scale="125" r:id="rId3"/>
  <headerFooter alignWithMargins="0">
    <oddFooter>&amp;L&amp;6© Mag. Wolfgang Harasleben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41"/>
  <sheetViews>
    <sheetView showGridLines="0" showRowColHeaders="0" zoomScale="130" zoomScaleNormal="130" workbookViewId="0" topLeftCell="A1">
      <pane ySplit="7" topLeftCell="BM8" activePane="bottomLeft" state="frozen"/>
      <selection pane="topLeft" activeCell="A1" sqref="A1"/>
      <selection pane="bottomLeft" activeCell="M3" sqref="M3"/>
    </sheetView>
  </sheetViews>
  <sheetFormatPr defaultColWidth="11.5546875" defaultRowHeight="15" zeroHeight="1"/>
  <cols>
    <col min="1" max="1" width="1.77734375" style="1" customWidth="1"/>
    <col min="2" max="2" width="17.77734375" style="1" customWidth="1"/>
    <col min="3" max="3" width="7.77734375" style="1" customWidth="1"/>
    <col min="4" max="4" width="9.77734375" style="1" customWidth="1"/>
    <col min="5" max="5" width="0.88671875" style="1" customWidth="1"/>
    <col min="6" max="6" width="7.77734375" style="1" hidden="1" customWidth="1"/>
    <col min="7" max="7" width="0.88671875" style="1" hidden="1" customWidth="1"/>
    <col min="8" max="8" width="9.77734375" style="1" customWidth="1"/>
    <col min="9" max="9" width="10.77734375" style="1" customWidth="1"/>
    <col min="10" max="10" width="4.77734375" style="1" customWidth="1"/>
    <col min="11" max="11" width="1.77734375" style="1" customWidth="1"/>
    <col min="12" max="12" width="4.77734375" style="1" customWidth="1"/>
    <col min="13" max="13" width="14.77734375" style="1" customWidth="1"/>
    <col min="14" max="14" width="1.77734375" style="1" hidden="1" customWidth="1"/>
    <col min="15" max="16384" width="11.5546875" style="1" hidden="1" customWidth="1"/>
  </cols>
  <sheetData>
    <row r="1" spans="1:14" ht="32.25" customHeight="1">
      <c r="A1" s="141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220" t="s">
        <v>109</v>
      </c>
      <c r="N1"/>
    </row>
    <row r="2" spans="1:14" ht="39.75" customHeight="1">
      <c r="A2" s="275" t="str">
        <f>IF(OR($H$9="",$H$10="",$H$13="",$H$14="",$H$15="",$H$16="",$H$18="",$H$21="",$H$22="",$H$23="",$H$25="",$H$28="",$H$29="",$H$30=""),"Du musst zuerst alle Berechnungen durchführen, um das Ergebnis ansehen zu können!","")</f>
        <v>Du musst zuerst alle Berechnungen durchführen, um das Ergebnis ansehen zu können!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37"/>
      <c r="N2"/>
    </row>
    <row r="3" spans="1:14" ht="15">
      <c r="A3" s="174"/>
      <c r="B3" s="175" t="s">
        <v>82</v>
      </c>
      <c r="E3" s="176"/>
      <c r="F3" s="176"/>
      <c r="G3" s="176"/>
      <c r="H3" s="176"/>
      <c r="I3" s="95"/>
      <c r="J3" s="177"/>
      <c r="K3" s="95"/>
      <c r="L3" s="178"/>
      <c r="M3" s="218" t="s">
        <v>107</v>
      </c>
      <c r="N3"/>
    </row>
    <row r="4" spans="2:14" ht="3.75" customHeight="1">
      <c r="B4" s="175"/>
      <c r="E4" s="176"/>
      <c r="F4" s="176"/>
      <c r="G4" s="176"/>
      <c r="H4" s="176"/>
      <c r="I4" s="95"/>
      <c r="J4" s="177"/>
      <c r="K4" s="95"/>
      <c r="L4" s="178"/>
      <c r="M4" s="137"/>
      <c r="N4"/>
    </row>
    <row r="5" spans="1:14" ht="15">
      <c r="A5" s="179"/>
      <c r="B5" s="175" t="s">
        <v>83</v>
      </c>
      <c r="E5" s="176"/>
      <c r="F5" s="176"/>
      <c r="G5" s="176"/>
      <c r="H5" s="176"/>
      <c r="I5" s="95"/>
      <c r="J5" s="177"/>
      <c r="K5" s="95"/>
      <c r="L5" s="178"/>
      <c r="M5" s="219" t="s">
        <v>73</v>
      </c>
      <c r="N5"/>
    </row>
    <row r="6" spans="5:14" ht="15">
      <c r="E6" s="176"/>
      <c r="F6" s="176"/>
      <c r="G6" s="176"/>
      <c r="H6" s="95"/>
      <c r="I6" s="95"/>
      <c r="J6" s="177"/>
      <c r="K6" s="95"/>
      <c r="L6" s="178"/>
      <c r="M6" s="217"/>
      <c r="N6"/>
    </row>
    <row r="7" spans="2:14" ht="22.5">
      <c r="B7" s="99"/>
      <c r="D7" s="180" t="s">
        <v>85</v>
      </c>
      <c r="E7" s="180"/>
      <c r="F7" s="181" t="s">
        <v>86</v>
      </c>
      <c r="G7" s="137"/>
      <c r="H7" s="181" t="s">
        <v>105</v>
      </c>
      <c r="I7" s="182" t="str">
        <f>"Fehler"</f>
        <v>Fehler</v>
      </c>
      <c r="J7" s="278" t="s">
        <v>87</v>
      </c>
      <c r="K7" s="278"/>
      <c r="L7" s="278"/>
      <c r="M7" s="137"/>
      <c r="N7"/>
    </row>
    <row r="8" spans="1:14" ht="15">
      <c r="A8" s="187" t="s">
        <v>84</v>
      </c>
      <c r="B8" s="187" t="s">
        <v>122</v>
      </c>
      <c r="C8" s="188"/>
      <c r="D8" s="183"/>
      <c r="H8" s="187"/>
      <c r="I8" s="184"/>
      <c r="J8" s="2"/>
      <c r="K8" s="185"/>
      <c r="L8" s="186"/>
      <c r="M8" s="137"/>
      <c r="N8"/>
    </row>
    <row r="9" spans="1:14" ht="15">
      <c r="A9" s="188"/>
      <c r="B9" s="188" t="s">
        <v>123</v>
      </c>
      <c r="C9" s="188"/>
      <c r="D9" s="194">
        <f>Dateneingabe!F15-Dateneingabe!C13</f>
        <v>10</v>
      </c>
      <c r="E9" s="190"/>
      <c r="F9" s="190"/>
      <c r="H9" s="195">
        <f>IF(Maschinenkosten!D11="","",Maschinenkosten!D11)</f>
        <v>10</v>
      </c>
      <c r="I9" s="192" t="str">
        <f>IF(H9=D9,"Richtig!",IF(H9="","Fehlt","Falsch"))</f>
        <v>Richtig!</v>
      </c>
      <c r="J9" s="193">
        <f>IF(I9="Richtig!",1,IF(I9="Formel: OK",0.5,IF(OR(I9="Falsch",I9="Fehlt"),0,"")))</f>
        <v>1</v>
      </c>
      <c r="K9" s="185" t="s">
        <v>88</v>
      </c>
      <c r="L9" s="186">
        <v>1</v>
      </c>
      <c r="M9" s="137"/>
      <c r="N9"/>
    </row>
    <row r="10" spans="1:14" ht="15">
      <c r="A10" s="188"/>
      <c r="B10" s="188" t="str">
        <f>"Zeitwert am 1. 1."&amp;Dateneingabe!F15</f>
        <v>Zeitwert am 1. 1.2006</v>
      </c>
      <c r="C10" s="188"/>
      <c r="D10" s="194">
        <f>IF(D9&gt;=Dateneingabe!C15,1,Dateneingabe!C11-Korrektur!D13*Korrektur!D9)</f>
        <v>12000</v>
      </c>
      <c r="E10" s="190"/>
      <c r="F10" s="190"/>
      <c r="H10" s="195">
        <f>IF(Maschinenkosten!D12="","",Maschinenkosten!D12)</f>
        <v>12000</v>
      </c>
      <c r="I10" s="192" t="str">
        <f>IF(H10=D10,"Richtig!",IF(H10="","Fehlt","Falsch"))</f>
        <v>Richtig!</v>
      </c>
      <c r="J10" s="193">
        <f>IF(I10="Richtig!",1,IF(I10="Formel: OK",0.5,IF(OR(I10="Falsch",I10="Fehlt"),0,"")))</f>
        <v>1</v>
      </c>
      <c r="K10" s="185" t="s">
        <v>88</v>
      </c>
      <c r="L10" s="186">
        <v>1</v>
      </c>
      <c r="M10" s="137"/>
      <c r="N10"/>
    </row>
    <row r="11" spans="1:14" ht="15">
      <c r="A11" s="188"/>
      <c r="B11" s="188"/>
      <c r="C11" s="188"/>
      <c r="D11" s="250"/>
      <c r="E11" s="190"/>
      <c r="F11" s="190"/>
      <c r="H11" s="251"/>
      <c r="I11" s="192"/>
      <c r="J11" s="252"/>
      <c r="K11" s="185"/>
      <c r="L11" s="186"/>
      <c r="M11" s="137"/>
      <c r="N11"/>
    </row>
    <row r="12" spans="1:14" ht="15">
      <c r="A12" s="187" t="s">
        <v>89</v>
      </c>
      <c r="B12" s="187" t="s">
        <v>6</v>
      </c>
      <c r="C12" s="188"/>
      <c r="D12" s="183"/>
      <c r="H12" s="187"/>
      <c r="I12" s="184"/>
      <c r="J12" s="2"/>
      <c r="K12" s="185"/>
      <c r="L12" s="186"/>
      <c r="M12" s="137"/>
      <c r="N12"/>
    </row>
    <row r="13" spans="1:14" ht="15">
      <c r="A13" s="188"/>
      <c r="B13" s="188" t="s">
        <v>90</v>
      </c>
      <c r="C13" s="188"/>
      <c r="D13" s="194">
        <f>IF(Dateneingabe!F15-Dateneingabe!C13&gt;=Dateneingabe!C15,0,Dateneingabe!C11/Dateneingabe!C15)</f>
        <v>1200</v>
      </c>
      <c r="E13" s="190"/>
      <c r="F13" s="190"/>
      <c r="H13" s="195">
        <f>IF(Maschinenkosten!D15="","",Maschinenkosten!D15)</f>
        <v>1200</v>
      </c>
      <c r="I13" s="192" t="str">
        <f>IF(H13=D13,"Richtig!",IF(H13="","Fehlt","Falsch"))</f>
        <v>Richtig!</v>
      </c>
      <c r="J13" s="193">
        <f>IF(I13="Richtig!",1,IF(I13="Formel: OK",0.5,IF(OR(I13="Falsch",I13="Fehlt"),0,"")))</f>
        <v>1</v>
      </c>
      <c r="K13" s="185" t="s">
        <v>88</v>
      </c>
      <c r="L13" s="186">
        <v>1</v>
      </c>
      <c r="M13" s="137"/>
      <c r="N13"/>
    </row>
    <row r="14" spans="1:14" ht="15">
      <c r="A14" s="188"/>
      <c r="B14" s="188" t="s">
        <v>91</v>
      </c>
      <c r="C14" s="188"/>
      <c r="D14" s="194">
        <f>IF(Dateneingabe!C20&lt;&gt;"",Dateneingabe!C20,Dateneingabe!C11*Dateneingabe!C18)</f>
        <v>240</v>
      </c>
      <c r="E14" s="190"/>
      <c r="F14" s="190"/>
      <c r="H14" s="195">
        <f>IF(Maschinenkosten!D16="","",Maschinenkosten!D16)</f>
        <v>240</v>
      </c>
      <c r="I14" s="192" t="str">
        <f>IF(H14=D14,"Richtig!",IF(H14="","Fehlt","Falsch"))</f>
        <v>Richtig!</v>
      </c>
      <c r="J14" s="193">
        <f>IF(I14="Richtig!",1,IF(I14="Formel: OK",0.5,IF(OR(I14="Falsch",I14="Fehlt"),0,"")))</f>
        <v>1</v>
      </c>
      <c r="K14" s="185" t="s">
        <v>88</v>
      </c>
      <c r="L14" s="186">
        <v>1</v>
      </c>
      <c r="M14" s="137"/>
      <c r="N14"/>
    </row>
    <row r="15" spans="1:14" ht="15">
      <c r="A15" s="188"/>
      <c r="B15" s="188" t="s">
        <v>92</v>
      </c>
      <c r="C15" s="188"/>
      <c r="D15" s="194">
        <f>IF(Dateneingabe!C26&lt;&gt;"",Dateneingabe!C26,Dateneingabe!C11*Dateneingabe!C24)</f>
        <v>240</v>
      </c>
      <c r="E15" s="190"/>
      <c r="F15" s="190"/>
      <c r="H15" s="195">
        <f>IF(Maschinenkosten!D17="","",Maschinenkosten!D17)</f>
        <v>240</v>
      </c>
      <c r="I15" s="192" t="str">
        <f>IF(H15=D15,"Richtig!",IF(H15="","Fehlt","Falsch"))</f>
        <v>Richtig!</v>
      </c>
      <c r="J15" s="193">
        <f>IF(I15="Richtig!",1,IF(I15="Formel: OK",0.5,IF(OR(I15="Falsch",I15="Fehlt"),0,"")))</f>
        <v>1</v>
      </c>
      <c r="K15" s="185" t="s">
        <v>88</v>
      </c>
      <c r="L15" s="186">
        <v>1</v>
      </c>
      <c r="M15" s="137"/>
      <c r="N15"/>
    </row>
    <row r="16" spans="1:14" ht="15">
      <c r="A16" s="188"/>
      <c r="B16" s="188" t="s">
        <v>93</v>
      </c>
      <c r="C16" s="188"/>
      <c r="D16" s="194">
        <f>Dateneingabe!C11*Dateneingabe!F18</f>
        <v>720</v>
      </c>
      <c r="E16" s="190"/>
      <c r="F16" s="190"/>
      <c r="H16" s="195">
        <f>IF(Maschinenkosten!D18="","",Maschinenkosten!D18)</f>
        <v>720</v>
      </c>
      <c r="I16" s="192" t="str">
        <f>IF(H16=D16,"Richtig!",IF(H16="","Fehlt","Falsch"))</f>
        <v>Richtig!</v>
      </c>
      <c r="J16" s="193">
        <f>IF(I16="Richtig!",1,IF(I16="Formel: OK",0.5,IF(OR(I16="Falsch",I16="Fehlt"),0,"")))</f>
        <v>1</v>
      </c>
      <c r="K16" s="185" t="s">
        <v>88</v>
      </c>
      <c r="L16" s="186">
        <v>1</v>
      </c>
      <c r="M16" s="137"/>
      <c r="N16"/>
    </row>
    <row r="17" spans="1:14" ht="15">
      <c r="A17" s="188"/>
      <c r="B17" s="188"/>
      <c r="C17" s="188"/>
      <c r="D17" s="183"/>
      <c r="H17" s="187"/>
      <c r="I17" s="184"/>
      <c r="J17" s="2"/>
      <c r="K17" s="185"/>
      <c r="L17" s="186"/>
      <c r="M17" s="137"/>
      <c r="N17"/>
    </row>
    <row r="18" spans="1:14" ht="15">
      <c r="A18" s="188"/>
      <c r="B18" s="187" t="s">
        <v>10</v>
      </c>
      <c r="C18" s="188"/>
      <c r="D18" s="189">
        <f>SUM(D13:D16)</f>
        <v>2400</v>
      </c>
      <c r="E18" s="190"/>
      <c r="F18" s="190">
        <f>SUM(Maschinenkosten!D15:D18)</f>
        <v>2400</v>
      </c>
      <c r="H18" s="191">
        <f>IF(Maschinenkosten!F19="","",Maschinenkosten!F19)</f>
        <v>2400</v>
      </c>
      <c r="I18" s="192" t="str">
        <f>IF(H18=D18,"Richtig!",IF(AND(F18&lt;&gt;"",H18&lt;&gt;D18,H18=F18),"Formel: OK",IF(H18="","Fehlt","Falsch")))</f>
        <v>Richtig!</v>
      </c>
      <c r="J18" s="193">
        <f>IF(I18="Richtig!",1,IF(I18="Formel: OK",0.5,IF(OR(I18="Falsch",I18="Fehlt"),0,"")))</f>
        <v>1</v>
      </c>
      <c r="K18" s="185" t="s">
        <v>88</v>
      </c>
      <c r="L18" s="186">
        <v>1</v>
      </c>
      <c r="M18" s="137"/>
      <c r="N18"/>
    </row>
    <row r="19" spans="1:14" ht="15">
      <c r="A19" s="188"/>
      <c r="B19" s="188"/>
      <c r="C19" s="188"/>
      <c r="D19" s="183"/>
      <c r="H19" s="187"/>
      <c r="I19" s="184"/>
      <c r="J19" s="2"/>
      <c r="K19" s="185"/>
      <c r="L19" s="186"/>
      <c r="M19" s="137"/>
      <c r="N19"/>
    </row>
    <row r="20" spans="1:14" ht="15">
      <c r="A20" s="187" t="s">
        <v>94</v>
      </c>
      <c r="B20" s="187" t="s">
        <v>11</v>
      </c>
      <c r="C20" s="188"/>
      <c r="D20" s="183"/>
      <c r="H20" s="187"/>
      <c r="I20" s="184"/>
      <c r="J20" s="2"/>
      <c r="K20" s="185"/>
      <c r="L20" s="186"/>
      <c r="M20" s="137"/>
      <c r="N20"/>
    </row>
    <row r="21" spans="1:14" ht="15">
      <c r="A21" s="188"/>
      <c r="B21" s="188" t="s">
        <v>95</v>
      </c>
      <c r="C21" s="188"/>
      <c r="D21" s="194">
        <f>Dateneingabe!F20*Dateneingabe!F13</f>
        <v>476</v>
      </c>
      <c r="E21" s="190"/>
      <c r="F21" s="190"/>
      <c r="H21" s="195">
        <f>IF(Maschinenkosten!F22="","",Maschinenkosten!F22)</f>
      </c>
      <c r="I21" s="192" t="str">
        <f>IF(H21=D21,"Richtig!",IF(H21="","Fehlt","Falsch"))</f>
        <v>Fehlt</v>
      </c>
      <c r="J21" s="193">
        <f>IF(I21="Richtig!",1,IF(I21="Formel: OK",0.5,IF(OR(I21="Falsch",I21="Fehlt"),0,"")))</f>
        <v>0</v>
      </c>
      <c r="K21" s="185" t="s">
        <v>88</v>
      </c>
      <c r="L21" s="186">
        <v>1</v>
      </c>
      <c r="M21" s="137"/>
      <c r="N21"/>
    </row>
    <row r="22" spans="1:14" ht="15">
      <c r="A22" s="188"/>
      <c r="B22" s="188" t="s">
        <v>96</v>
      </c>
      <c r="C22" s="188"/>
      <c r="D22" s="194">
        <f>Dateneingabe!C11*Dateneingabe!F22</f>
        <v>192</v>
      </c>
      <c r="E22" s="190"/>
      <c r="F22" s="190"/>
      <c r="H22" s="195">
        <f>IF(Maschinenkosten!D23="","",Maschinenkosten!D23)</f>
      </c>
      <c r="I22" s="192" t="str">
        <f>IF(H22=D22,"Richtig!",IF(H22="","Fehlt","Falsch"))</f>
        <v>Fehlt</v>
      </c>
      <c r="J22" s="193">
        <f>IF(I22="Richtig!",1,IF(I22="Formel: OK",0.5,IF(OR(I22="Falsch",I22="Fehlt"),0,"")))</f>
        <v>0</v>
      </c>
      <c r="K22" s="185" t="s">
        <v>88</v>
      </c>
      <c r="L22" s="186">
        <v>1</v>
      </c>
      <c r="M22" s="137"/>
      <c r="N22"/>
    </row>
    <row r="23" spans="1:14" ht="15">
      <c r="A23" s="188"/>
      <c r="B23" s="188" t="s">
        <v>97</v>
      </c>
      <c r="C23" s="188"/>
      <c r="D23" s="189">
        <f>D22/100*Dateneingabe!F13</f>
        <v>192</v>
      </c>
      <c r="E23" s="190"/>
      <c r="F23" s="190">
        <f>Maschinenkosten!D23/100*Dateneingabe!F13</f>
        <v>0</v>
      </c>
      <c r="H23" s="191">
        <f>IF(Maschinenkosten!F23="","",Maschinenkosten!F23)</f>
      </c>
      <c r="I23" s="192" t="str">
        <f>IF(H23=D23,"Richtig!",IF(AND(F23&lt;&gt;"",H23&lt;&gt;D23,H23=F23),"Formel: OK",IF(H23="","Fehlt","Falsch")))</f>
        <v>Fehlt</v>
      </c>
      <c r="J23" s="193">
        <f>IF(I23="Richtig!",1,IF(I23="Formel: OK",0.5,IF(OR(I23="Falsch",I23="Fehlt"),0,"")))</f>
        <v>0</v>
      </c>
      <c r="K23" s="185" t="s">
        <v>88</v>
      </c>
      <c r="L23" s="186">
        <v>1</v>
      </c>
      <c r="M23" s="137"/>
      <c r="N23"/>
    </row>
    <row r="24" spans="1:14" ht="15">
      <c r="A24" s="188"/>
      <c r="B24" s="188"/>
      <c r="C24" s="188"/>
      <c r="D24" s="183"/>
      <c r="H24" s="187"/>
      <c r="I24" s="184"/>
      <c r="J24" s="2"/>
      <c r="K24" s="185"/>
      <c r="L24" s="186"/>
      <c r="M24" s="137"/>
      <c r="N24"/>
    </row>
    <row r="25" spans="1:14" ht="15">
      <c r="A25" s="188"/>
      <c r="B25" s="187" t="s">
        <v>13</v>
      </c>
      <c r="C25" s="188"/>
      <c r="D25" s="189">
        <f>SUM(D21,D23)</f>
        <v>668</v>
      </c>
      <c r="E25" s="190"/>
      <c r="F25" s="190">
        <f>SUM(Maschinenkosten!F22:F23)</f>
        <v>0</v>
      </c>
      <c r="H25" s="191">
        <f>IF(Maschinenkosten!F24="","",Maschinenkosten!F24)</f>
      </c>
      <c r="I25" s="192" t="str">
        <f>IF(H25=D25,"Richtig!",IF(AND(F25&lt;&gt;"",H25&lt;&gt;D25,H25=F25),"Formel: OK",IF(H25="","Fehlt","Falsch")))</f>
        <v>Fehlt</v>
      </c>
      <c r="J25" s="193">
        <f>IF(I25="Richtig!",1,IF(I25="Formel: OK",0.5,IF(OR(I25="Falsch",I25="Fehlt"),0,"")))</f>
        <v>0</v>
      </c>
      <c r="K25" s="185" t="s">
        <v>88</v>
      </c>
      <c r="L25" s="186">
        <v>1</v>
      </c>
      <c r="M25" s="137"/>
      <c r="N25"/>
    </row>
    <row r="26" spans="1:14" ht="15">
      <c r="A26" s="188"/>
      <c r="B26" s="188"/>
      <c r="C26" s="188"/>
      <c r="D26" s="183"/>
      <c r="H26" s="187"/>
      <c r="I26" s="184"/>
      <c r="J26" s="2"/>
      <c r="K26" s="185"/>
      <c r="L26" s="186"/>
      <c r="M26" s="137"/>
      <c r="N26"/>
    </row>
    <row r="27" spans="1:14" ht="15">
      <c r="A27" s="187" t="s">
        <v>121</v>
      </c>
      <c r="B27" s="187" t="s">
        <v>98</v>
      </c>
      <c r="C27" s="188"/>
      <c r="D27" s="183"/>
      <c r="H27" s="187"/>
      <c r="I27" s="184"/>
      <c r="J27" s="2"/>
      <c r="K27" s="185"/>
      <c r="L27" s="186"/>
      <c r="M27" s="137"/>
      <c r="N27"/>
    </row>
    <row r="28" spans="1:14" ht="15">
      <c r="A28" s="188"/>
      <c r="B28" s="188" t="s">
        <v>99</v>
      </c>
      <c r="C28" s="188"/>
      <c r="D28" s="189">
        <f>D18/Dateneingabe!F13</f>
        <v>24</v>
      </c>
      <c r="E28" s="190"/>
      <c r="F28" s="190">
        <f>Maschinenkosten!F19/Dateneingabe!F13</f>
        <v>24</v>
      </c>
      <c r="H28" s="191">
        <f>IF(Maschinenkosten!F27="","",Maschinenkosten!F27)</f>
        <v>24</v>
      </c>
      <c r="I28" s="192" t="str">
        <f>IF(H28=D28,"Richtig!",IF(AND(F28&lt;&gt;"",H28&lt;&gt;D28,H28=F28),"Formel: OK",IF(H28="","Fehlt","Falsch")))</f>
        <v>Richtig!</v>
      </c>
      <c r="J28" s="193">
        <f>IF(I28="Richtig!",1,IF(I28="Formel: OK",0.5,IF(OR(I28="Falsch",I28="Fehlt"),0,"")))</f>
        <v>1</v>
      </c>
      <c r="K28" s="185" t="s">
        <v>88</v>
      </c>
      <c r="L28" s="186">
        <v>1</v>
      </c>
      <c r="M28" s="137"/>
      <c r="N28"/>
    </row>
    <row r="29" spans="1:14" ht="15">
      <c r="A29" s="188"/>
      <c r="B29" s="188" t="s">
        <v>100</v>
      </c>
      <c r="C29" s="188"/>
      <c r="D29" s="189">
        <f>D25/Dateneingabe!F13</f>
        <v>6.68</v>
      </c>
      <c r="E29" s="190"/>
      <c r="F29" s="190">
        <f>Maschinenkosten!F24/Dateneingabe!F13</f>
        <v>0</v>
      </c>
      <c r="H29" s="191">
        <f>IF(Maschinenkosten!F28="","",Maschinenkosten!F28)</f>
      </c>
      <c r="I29" s="192" t="str">
        <f>IF(H29=D29,"Richtig!",IF(AND(F29&lt;&gt;"",H29&lt;&gt;D29,H29=F29),"Formel: OK",IF(H29="","Fehlt","Falsch")))</f>
        <v>Fehlt</v>
      </c>
      <c r="J29" s="193">
        <f>IF(I29="Richtig!",1,IF(I29="Formel: OK",0.5,IF(OR(I29="Falsch",I29="Fehlt"),0,"")))</f>
        <v>0</v>
      </c>
      <c r="K29" s="185" t="s">
        <v>88</v>
      </c>
      <c r="L29" s="186">
        <v>1</v>
      </c>
      <c r="M29" s="137"/>
      <c r="N29"/>
    </row>
    <row r="30" spans="1:14" ht="15">
      <c r="A30" s="188"/>
      <c r="B30" s="187" t="s">
        <v>101</v>
      </c>
      <c r="C30" s="188"/>
      <c r="D30" s="189">
        <f>SUM(D28:D29)</f>
        <v>30.68</v>
      </c>
      <c r="E30" s="190"/>
      <c r="F30" s="190">
        <f>SUM(Maschinenkosten!F27:F28)</f>
        <v>24</v>
      </c>
      <c r="H30" s="191">
        <f>IF(Maschinenkosten!F29="","",Maschinenkosten!F29)</f>
      </c>
      <c r="I30" s="192" t="str">
        <f>IF(H30=D30,"Richtig!",IF(AND(F30&lt;&gt;"",H30&lt;&gt;D30,H30=F30),"Formel: OK",IF(H30="","Fehlt","Falsch")))</f>
        <v>Fehlt</v>
      </c>
      <c r="J30" s="193">
        <f>IF(I30="Richtig!",2,IF(I30="Formel: OK",1,IF(OR(I30="Falsch",I30="Fehlt"),0,"")))</f>
        <v>0</v>
      </c>
      <c r="K30" s="185" t="s">
        <v>88</v>
      </c>
      <c r="L30" s="186">
        <v>2</v>
      </c>
      <c r="M30" s="137"/>
      <c r="N30"/>
    </row>
    <row r="31" spans="4:14" ht="15">
      <c r="D31" s="183"/>
      <c r="I31" s="184"/>
      <c r="J31" s="2"/>
      <c r="K31" s="185"/>
      <c r="L31" s="186"/>
      <c r="M31" s="137"/>
      <c r="N31"/>
    </row>
    <row r="32" spans="1:14" ht="16.5">
      <c r="A32" s="196" t="s">
        <v>102</v>
      </c>
      <c r="B32" s="197"/>
      <c r="C32" s="197"/>
      <c r="D32" s="197"/>
      <c r="E32" s="279"/>
      <c r="F32" s="279"/>
      <c r="G32" s="279"/>
      <c r="H32" s="198"/>
      <c r="I32" s="198"/>
      <c r="J32" s="199">
        <f>SUM(J9:J30)</f>
        <v>8</v>
      </c>
      <c r="K32" s="200" t="s">
        <v>88</v>
      </c>
      <c r="L32" s="198">
        <f>SUM(L9:L30)</f>
        <v>15</v>
      </c>
      <c r="M32" s="137"/>
      <c r="N32"/>
    </row>
    <row r="33" spans="1:14" ht="3" customHeight="1">
      <c r="A33" s="201"/>
      <c r="B33" s="201"/>
      <c r="C33" s="201"/>
      <c r="D33" s="201"/>
      <c r="E33" s="201"/>
      <c r="F33" s="201"/>
      <c r="G33" s="202"/>
      <c r="H33" s="202"/>
      <c r="I33" s="202"/>
      <c r="J33" s="201"/>
      <c r="K33" s="201"/>
      <c r="L33" s="203"/>
      <c r="M33" s="137"/>
      <c r="N33"/>
    </row>
    <row r="34" spans="13:14" ht="49.5" customHeight="1">
      <c r="M34" s="137"/>
      <c r="N34"/>
    </row>
    <row r="35" spans="1:15" ht="22.5">
      <c r="A35" s="204" t="s">
        <v>103</v>
      </c>
      <c r="B35" s="137"/>
      <c r="C35" s="277">
        <f>J32/L32</f>
        <v>0.5333333333333333</v>
      </c>
      <c r="D35" s="277"/>
      <c r="E35" s="277"/>
      <c r="F35" s="277"/>
      <c r="G35" s="277"/>
      <c r="H35" s="277"/>
      <c r="I35" s="205"/>
      <c r="J35" s="205"/>
      <c r="K35" s="205"/>
      <c r="L35" s="205"/>
      <c r="M35" s="205"/>
      <c r="N35"/>
      <c r="O35" s="206"/>
    </row>
    <row r="36" spans="1:15" ht="23.25">
      <c r="A36" s="207"/>
      <c r="B36" s="208">
        <f>C36-I40</f>
        <v>14</v>
      </c>
      <c r="C36" s="227">
        <f>L32</f>
        <v>15</v>
      </c>
      <c r="D36" s="209" t="str">
        <f>IF(AND(J32&gt;=B36-0.5,J32&lt;=C36),"u","j")</f>
        <v>j</v>
      </c>
      <c r="E36" s="210">
        <f>IF(OR(J32=B36-0.5,J32=B36),"-","")</f>
      </c>
      <c r="I36" s="211"/>
      <c r="J36" s="212"/>
      <c r="K36" s="211"/>
      <c r="M36" s="137"/>
      <c r="N36"/>
      <c r="O36" s="213"/>
    </row>
    <row r="37" spans="1:15" ht="23.25">
      <c r="A37" s="207"/>
      <c r="B37" s="208">
        <f>C37-I40</f>
        <v>12</v>
      </c>
      <c r="C37" s="214">
        <f>B36-1</f>
        <v>13</v>
      </c>
      <c r="D37" s="209" t="str">
        <f>IF(AND(J32&gt;=B37-0.5,J32&lt;=C37),"v","k")</f>
        <v>k</v>
      </c>
      <c r="E37" s="210">
        <f>IF(OR(J32=B37-0.5,J32=B37),"-",IF(OR(J32=C37-0.5,J32=C37),"+",""))</f>
      </c>
      <c r="I37" s="211"/>
      <c r="J37" s="212"/>
      <c r="K37" s="211"/>
      <c r="M37" s="137"/>
      <c r="N37"/>
      <c r="O37" s="213"/>
    </row>
    <row r="38" spans="1:15" ht="23.25">
      <c r="A38" s="207"/>
      <c r="B38" s="208">
        <f>C38-I40</f>
        <v>10</v>
      </c>
      <c r="C38" s="214">
        <f>B37-1</f>
        <v>11</v>
      </c>
      <c r="D38" s="209" t="str">
        <f>IF(AND(J32&gt;=B38-0.5,J32&lt;=C38),"w","l")</f>
        <v>l</v>
      </c>
      <c r="E38" s="210">
        <f>IF(OR(J32=B38-0.5,J32=B38),"-",IF(OR(J32=C38-0.5,J32=C38),"+",""))</f>
      </c>
      <c r="I38" s="211"/>
      <c r="J38" s="212"/>
      <c r="K38" s="211"/>
      <c r="M38" s="137"/>
      <c r="N38"/>
      <c r="O38" s="213"/>
    </row>
    <row r="39" spans="1:15" ht="23.25">
      <c r="A39" s="207"/>
      <c r="B39" s="208">
        <f>C39-I40</f>
        <v>8</v>
      </c>
      <c r="C39" s="214">
        <f>B38-1</f>
        <v>9</v>
      </c>
      <c r="D39" s="209" t="str">
        <f>IF(AND(J32&gt;=B39-0.5,J32&lt;=C39),"x","m")</f>
        <v>x</v>
      </c>
      <c r="E39" s="210" t="str">
        <f>IF(OR(J32=B39-0.5,J32=B39),"-",IF(OR(J32=C39-0.5,J32=C39),"+",""))</f>
        <v>-</v>
      </c>
      <c r="G39" s="215" t="s">
        <v>104</v>
      </c>
      <c r="I39" s="226">
        <v>0.07</v>
      </c>
      <c r="J39" s="225"/>
      <c r="K39" s="211"/>
      <c r="M39" s="137"/>
      <c r="N39"/>
      <c r="O39" s="213"/>
    </row>
    <row r="40" spans="1:15" ht="23.25">
      <c r="A40" s="207"/>
      <c r="B40" s="208">
        <v>0</v>
      </c>
      <c r="C40" s="214">
        <f>B39-1</f>
        <v>7</v>
      </c>
      <c r="D40" s="209" t="str">
        <f>IF(AND(J32&gt;=B40-0.5,J32&lt;=C40),"y","n")</f>
        <v>n</v>
      </c>
      <c r="E40" s="210">
        <f>IF(OR(J32=C40-1,J32=C40-0.5,J32=C40),"+","")</f>
      </c>
      <c r="F40" s="216"/>
      <c r="G40" s="216"/>
      <c r="H40" s="216"/>
      <c r="I40" s="276">
        <f>ROUND(L32*I39,0)</f>
        <v>1</v>
      </c>
      <c r="J40" s="276"/>
      <c r="K40" s="211"/>
      <c r="M40" s="137"/>
      <c r="N40"/>
      <c r="O40" s="213"/>
    </row>
    <row r="41" spans="1:14" ht="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/>
    </row>
    <row r="42" ht="15" hidden="1"/>
    <row r="43" ht="15" hidden="1"/>
    <row r="44" ht="15" hidden="1"/>
    <row r="45" ht="15" hidden="1"/>
    <row r="46" ht="15" hidden="1"/>
  </sheetData>
  <sheetProtection sheet="1" objects="1" scenarios="1" selectLockedCells="1"/>
  <mergeCells count="5">
    <mergeCell ref="A2:L2"/>
    <mergeCell ref="I40:J40"/>
    <mergeCell ref="C35:H35"/>
    <mergeCell ref="J7:L7"/>
    <mergeCell ref="E32:G32"/>
  </mergeCells>
  <conditionalFormatting sqref="A2">
    <cfRule type="expression" priority="1" dxfId="3" stopIfTrue="1">
      <formula>$A$2="Du musst zuerst alle Berechnungen durchführen, um das Ergebnis ansehen zu können!"</formula>
    </cfRule>
  </conditionalFormatting>
  <conditionalFormatting sqref="A3:C40 E3:L40 D3:D35">
    <cfRule type="expression" priority="2" dxfId="4" stopIfTrue="1">
      <formula>OR($H$9="",$H$10="",$H$13="",$H$14="",$H$15="",$H$16="",$H$18="",$H$21="",$H$22="",$H$23="",$H$25="",$H$28="",$H$29="",$H$30="")</formula>
    </cfRule>
  </conditionalFormatting>
  <conditionalFormatting sqref="D36">
    <cfRule type="expression" priority="3" dxfId="4" stopIfTrue="1">
      <formula>OR($H$9="",$H$10="",$H$13="",$H$14="",$H$15="",$H$16="",$H$18="",$H$21="",$H$22="",$H$23="",$H$25="",$H$28="",$H$29="",$H$30="")</formula>
    </cfRule>
    <cfRule type="cellIs" priority="4" dxfId="1" operator="equal" stopIfTrue="1">
      <formula>"u"</formula>
    </cfRule>
  </conditionalFormatting>
  <conditionalFormatting sqref="D37">
    <cfRule type="expression" priority="5" dxfId="4" stopIfTrue="1">
      <formula>OR($H$9="",$H$10="",$H$13="",$H$14="",$H$15="",$H$16="",$H$18="",$H$21="",$H$22="",$H$23="",$H$25="",$H$28="",$H$29="",$H$30="")</formula>
    </cfRule>
    <cfRule type="cellIs" priority="6" dxfId="1" operator="equal" stopIfTrue="1">
      <formula>"v"</formula>
    </cfRule>
  </conditionalFormatting>
  <conditionalFormatting sqref="D38">
    <cfRule type="expression" priority="7" dxfId="4" stopIfTrue="1">
      <formula>OR($H$9="",$H$10="",$H$13="",$H$14="",$H$15="",$H$16="",$H$18="",$H$21="",$H$22="",$H$23="",$H$25="",$H$28="",$H$29="",$H$30="")</formula>
    </cfRule>
    <cfRule type="cellIs" priority="8" dxfId="1" operator="equal" stopIfTrue="1">
      <formula>"w"</formula>
    </cfRule>
  </conditionalFormatting>
  <conditionalFormatting sqref="D39">
    <cfRule type="expression" priority="9" dxfId="4" stopIfTrue="1">
      <formula>OR($H$9="",$H$10="",$H$13="",$H$14="",$H$15="",$H$16="",$H$18="",$H$21="",$H$22="",$H$23="",$H$25="",$H$28="",$H$29="",$H$30="")</formula>
    </cfRule>
    <cfRule type="cellIs" priority="10" dxfId="1" operator="equal" stopIfTrue="1">
      <formula>"x"</formula>
    </cfRule>
  </conditionalFormatting>
  <conditionalFormatting sqref="D40">
    <cfRule type="expression" priority="11" dxfId="4" stopIfTrue="1">
      <formula>OR($H$9="",$H$10="",$H$13="",$H$14="",$H$15="",$H$16="",$H$18="",$H$21="",$H$22="",$H$23="",$H$25="",$H$28="",$H$29="",$H$30="")</formula>
    </cfRule>
    <cfRule type="cellIs" priority="12" dxfId="1" operator="equal" stopIfTrue="1">
      <formula>"y"</formula>
    </cfRule>
  </conditionalFormatting>
  <hyperlinks>
    <hyperlink ref="M3" location="Maschinenkosten!A1" tooltip="Zurück zur Berechnung der Maschinenkosten!" display="◄ Berechnung"/>
    <hyperlink ref="M5" location="Hilfe!A1" tooltip="Hier kannst du dir die Formeln und die Ergebnisse zur Berechnung des Beispiels ansehen!" display="Hilfe"/>
    <hyperlink ref="M1" location="Dateneingabe!A1" tooltip="Hier kommst du wieder zur Dateneingabe zurück!" display="◄ Dateneingabe"/>
  </hyperlinks>
  <printOptions/>
  <pageMargins left="0.7874015748031497" right="0.7874015748031497" top="0.984251968503937" bottom="0.7874015748031497" header="0.5118110236220472" footer="0.31496062992125984"/>
  <pageSetup blackAndWhite="1" horizontalDpi="600" verticalDpi="600" orientation="portrait" paperSize="9" r:id="rId1"/>
  <headerFooter alignWithMargins="0">
    <oddFooter>&amp;L&amp;6© Mag. Wolfgang Harasleben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Q55"/>
  <sheetViews>
    <sheetView showGridLines="0" showRowColHeaders="0" zoomScale="110" zoomScaleNormal="11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5546875" defaultRowHeight="15" zeroHeight="1"/>
  <cols>
    <col min="1" max="1" width="15.77734375" style="1" customWidth="1"/>
    <col min="2" max="2" width="1.77734375" style="1" customWidth="1"/>
    <col min="3" max="3" width="12.77734375" style="1" customWidth="1"/>
    <col min="4" max="4" width="7.77734375" style="1" customWidth="1"/>
    <col min="5" max="5" width="6.3359375" style="1" customWidth="1"/>
    <col min="6" max="6" width="12.77734375" style="1" customWidth="1"/>
    <col min="7" max="7" width="3.77734375" style="1" customWidth="1"/>
    <col min="8" max="9" width="16.77734375" style="1" customWidth="1"/>
    <col min="10" max="10" width="1.77734375" style="1" customWidth="1"/>
    <col min="11" max="11" width="4.6640625" style="1" customWidth="1"/>
    <col min="12" max="12" width="14.21484375" style="1" bestFit="1" customWidth="1"/>
    <col min="13" max="13" width="3.77734375" style="1" customWidth="1"/>
    <col min="14" max="14" width="21.77734375" style="1" customWidth="1"/>
    <col min="15" max="15" width="0.88671875" style="1" customWidth="1"/>
    <col min="16" max="16" width="24.77734375" style="1" customWidth="1"/>
    <col min="17" max="17" width="1.77734375" style="1" customWidth="1"/>
    <col min="18" max="16384" width="11.5546875" style="1" hidden="1" customWidth="1"/>
  </cols>
  <sheetData>
    <row r="1" spans="1:17" ht="24.75" customHeight="1">
      <c r="A1" s="246" t="s">
        <v>75</v>
      </c>
      <c r="B1" s="247" t="s">
        <v>78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</row>
    <row r="2" spans="1:17" ht="9.75" customHeight="1">
      <c r="A2" s="1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218" t="s">
        <v>107</v>
      </c>
      <c r="B3" s="2"/>
      <c r="C3" s="3" t="s">
        <v>51</v>
      </c>
      <c r="D3" s="4"/>
      <c r="E3" s="5"/>
      <c r="F3" s="5"/>
      <c r="G3" s="5"/>
      <c r="H3" s="5"/>
      <c r="I3" s="6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137"/>
      <c r="B4" s="2"/>
      <c r="C4" s="7" t="str">
        <f>Dateneingabe!C6</f>
        <v>Traktor</v>
      </c>
      <c r="D4" s="8" t="str">
        <f>IF(Dateneingabe!C9="","",Dateneingabe!C9)</f>
        <v>35 kW (48 PS)</v>
      </c>
      <c r="E4" s="9"/>
      <c r="F4" s="9"/>
      <c r="G4" s="9"/>
      <c r="H4" s="9"/>
      <c r="I4" s="10"/>
      <c r="J4" s="2"/>
      <c r="K4" s="2"/>
      <c r="L4" s="139"/>
      <c r="M4" s="2"/>
      <c r="N4" s="2"/>
      <c r="O4" s="2"/>
      <c r="P4" s="2"/>
      <c r="Q4" s="2"/>
    </row>
    <row r="5" spans="1:17" ht="15" customHeight="1">
      <c r="A5" s="219" t="s">
        <v>108</v>
      </c>
      <c r="B5" s="2"/>
      <c r="C5" s="7" t="s">
        <v>1</v>
      </c>
      <c r="D5" s="11">
        <f>IF(Dateneingabe!C11="","",Dateneingabe!C11)</f>
        <v>24000</v>
      </c>
      <c r="E5" s="9"/>
      <c r="F5" s="9"/>
      <c r="G5" s="9"/>
      <c r="H5" s="9"/>
      <c r="I5" s="10"/>
      <c r="J5" s="2"/>
      <c r="K5" s="2"/>
      <c r="L5" s="2"/>
      <c r="M5" s="2"/>
      <c r="N5" s="12"/>
      <c r="O5" s="12"/>
      <c r="P5" s="12"/>
      <c r="Q5" s="2"/>
    </row>
    <row r="6" spans="1:17" ht="12" customHeight="1">
      <c r="A6" s="137"/>
      <c r="B6" s="2"/>
      <c r="C6" s="7" t="s">
        <v>2</v>
      </c>
      <c r="D6" s="8">
        <f>IF(Dateneingabe!C13="","",Dateneingabe!C13)</f>
        <v>1996</v>
      </c>
      <c r="E6" s="9"/>
      <c r="F6" s="9"/>
      <c r="G6" s="9"/>
      <c r="H6" s="9"/>
      <c r="I6" s="10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37"/>
      <c r="B7" s="2"/>
      <c r="C7" s="7" t="s">
        <v>3</v>
      </c>
      <c r="D7" s="13">
        <f>IF(Dateneingabe!C15="","",Dateneingabe!C15)</f>
        <v>20</v>
      </c>
      <c r="E7" s="9"/>
      <c r="F7" s="9"/>
      <c r="G7" s="9"/>
      <c r="H7" s="9"/>
      <c r="I7" s="10"/>
      <c r="J7" s="2"/>
      <c r="K7" s="2"/>
      <c r="L7" s="2"/>
      <c r="M7" s="2"/>
      <c r="N7" s="2"/>
      <c r="O7" s="2"/>
      <c r="P7" s="2"/>
      <c r="Q7" s="2"/>
    </row>
    <row r="8" spans="1:17" ht="12" customHeight="1">
      <c r="A8" s="137"/>
      <c r="B8" s="2"/>
      <c r="C8" s="7" t="s">
        <v>25</v>
      </c>
      <c r="D8" s="14"/>
      <c r="E8" s="9"/>
      <c r="F8" s="9"/>
      <c r="G8" s="9"/>
      <c r="H8" s="9"/>
      <c r="I8" s="10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37"/>
      <c r="B9" s="2"/>
      <c r="C9" s="15" t="s">
        <v>54</v>
      </c>
      <c r="D9" s="16">
        <f>IF(Dateneingabe!C18="","",Dateneingabe!C18)</f>
        <v>0.01</v>
      </c>
      <c r="E9" s="9"/>
      <c r="F9" s="9"/>
      <c r="G9" s="9"/>
      <c r="H9" s="9"/>
      <c r="I9" s="10"/>
      <c r="J9" s="2"/>
      <c r="K9" s="2"/>
      <c r="L9" s="2"/>
      <c r="M9" s="2"/>
      <c r="N9" s="2"/>
      <c r="O9" s="2"/>
      <c r="P9" s="2"/>
      <c r="Q9" s="2"/>
    </row>
    <row r="10" spans="1:17" ht="12" customHeight="1">
      <c r="A10" s="137"/>
      <c r="B10" s="2"/>
      <c r="C10" s="15" t="s">
        <v>52</v>
      </c>
      <c r="D10" s="11">
        <f>IF(Dateneingabe!C20="","",Dateneingabe!C20)</f>
      </c>
      <c r="E10" s="9"/>
      <c r="F10" s="9"/>
      <c r="I10" s="10"/>
      <c r="J10" s="2"/>
      <c r="K10" s="2"/>
      <c r="L10" s="2"/>
      <c r="M10" s="2"/>
      <c r="N10" s="2"/>
      <c r="O10" s="2"/>
      <c r="P10" s="2"/>
      <c r="Q10" s="2"/>
    </row>
    <row r="11" spans="1:17" ht="12" customHeight="1">
      <c r="A11" s="137"/>
      <c r="B11" s="2"/>
      <c r="C11" s="7" t="s">
        <v>26</v>
      </c>
      <c r="D11" s="14"/>
      <c r="E11" s="9"/>
      <c r="F11" s="9"/>
      <c r="I11" s="10"/>
      <c r="J11" s="2"/>
      <c r="K11" s="2"/>
      <c r="L11" s="2"/>
      <c r="M11" s="2"/>
      <c r="N11" s="2"/>
      <c r="O11" s="2"/>
      <c r="P11" s="2"/>
      <c r="Q11" s="2"/>
    </row>
    <row r="12" spans="1:17" ht="12" customHeight="1">
      <c r="A12" s="137"/>
      <c r="B12" s="2"/>
      <c r="C12" s="15" t="s">
        <v>53</v>
      </c>
      <c r="D12" s="16">
        <f>IF(Dateneingabe!C24="","",Dateneingabe!C24)</f>
        <v>0.01</v>
      </c>
      <c r="E12" s="9"/>
      <c r="F12" s="9"/>
      <c r="I12" s="10"/>
      <c r="J12" s="2"/>
      <c r="K12" s="2"/>
      <c r="L12" s="2"/>
      <c r="M12" s="2"/>
      <c r="N12" s="2"/>
      <c r="O12" s="2"/>
      <c r="P12" s="2"/>
      <c r="Q12" s="2"/>
    </row>
    <row r="13" spans="1:17" ht="12" customHeight="1">
      <c r="A13" s="137"/>
      <c r="B13" s="2"/>
      <c r="C13" s="15" t="s">
        <v>52</v>
      </c>
      <c r="D13" s="11">
        <f>IF(Dateneingabe!C26="","",Dateneingabe!C26)</f>
      </c>
      <c r="E13" s="9"/>
      <c r="F13" s="9"/>
      <c r="I13" s="10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137"/>
      <c r="B14" s="2"/>
      <c r="C14" s="7" t="s">
        <v>55</v>
      </c>
      <c r="D14" s="17">
        <f>IF(Dateneingabe!F13="","",Dateneingabe!F13)</f>
        <v>100</v>
      </c>
      <c r="E14" s="9"/>
      <c r="F14" s="9"/>
      <c r="I14" s="10"/>
      <c r="J14" s="2"/>
      <c r="K14" s="2"/>
      <c r="L14" s="2"/>
      <c r="M14" s="2"/>
      <c r="N14" s="244" t="s">
        <v>31</v>
      </c>
      <c r="O14" s="18"/>
      <c r="P14" s="19"/>
      <c r="Q14" s="2"/>
    </row>
    <row r="15" spans="1:17" ht="12" customHeight="1">
      <c r="A15" s="137"/>
      <c r="B15" s="2"/>
      <c r="C15" s="20"/>
      <c r="D15" s="90"/>
      <c r="E15" s="9"/>
      <c r="F15" s="9"/>
      <c r="I15" s="10"/>
      <c r="J15" s="2"/>
      <c r="K15" s="2"/>
      <c r="L15" s="2"/>
      <c r="M15" s="2"/>
      <c r="N15" s="21" t="s">
        <v>23</v>
      </c>
      <c r="O15" s="21"/>
      <c r="P15" s="22" t="s">
        <v>48</v>
      </c>
      <c r="Q15" s="2"/>
    </row>
    <row r="16" spans="1:17" ht="12" customHeight="1">
      <c r="A16" s="137"/>
      <c r="B16" s="2"/>
      <c r="C16" s="23" t="s">
        <v>56</v>
      </c>
      <c r="D16" s="8">
        <f>IF(Dateneingabe!F15="","",Dateneingabe!F15)</f>
        <v>2006</v>
      </c>
      <c r="E16" s="9"/>
      <c r="F16" s="138"/>
      <c r="H16" s="244" t="s">
        <v>115</v>
      </c>
      <c r="I16" s="18"/>
      <c r="J16" s="253"/>
      <c r="K16" s="2"/>
      <c r="L16" s="2"/>
      <c r="M16" s="2"/>
      <c r="P16" s="24" t="s">
        <v>35</v>
      </c>
      <c r="Q16" s="2"/>
    </row>
    <row r="17" spans="1:17" ht="12" customHeight="1">
      <c r="A17" s="137"/>
      <c r="B17" s="2"/>
      <c r="C17" s="20"/>
      <c r="D17" s="14"/>
      <c r="E17" s="9"/>
      <c r="F17" s="9"/>
      <c r="H17" s="21" t="s">
        <v>23</v>
      </c>
      <c r="I17" s="254" t="s">
        <v>60</v>
      </c>
      <c r="J17" s="254"/>
      <c r="K17" s="2"/>
      <c r="L17" s="2"/>
      <c r="M17" s="2"/>
      <c r="N17" s="284" t="s">
        <v>42</v>
      </c>
      <c r="O17" s="161"/>
      <c r="P17" s="160" t="str">
        <f>"z.B.                        "&amp;DOLLAR(L36,2)</f>
        <v>z.B.                        € 1.200,00</v>
      </c>
      <c r="Q17" s="2"/>
    </row>
    <row r="18" spans="1:17" ht="12" customHeight="1">
      <c r="A18" s="137"/>
      <c r="B18" s="2"/>
      <c r="C18" s="23" t="s">
        <v>57</v>
      </c>
      <c r="D18" s="14"/>
      <c r="E18" s="9"/>
      <c r="F18" s="9"/>
      <c r="H18" s="24" t="s">
        <v>113</v>
      </c>
      <c r="I18" s="36"/>
      <c r="J18" s="90"/>
      <c r="K18" s="2"/>
      <c r="L18" s="2"/>
      <c r="M18" s="2"/>
      <c r="N18" s="285"/>
      <c r="O18" s="161"/>
      <c r="P18" s="24" t="s">
        <v>34</v>
      </c>
      <c r="Q18" s="2"/>
    </row>
    <row r="19" spans="1:17" ht="12" customHeight="1">
      <c r="A19" s="137"/>
      <c r="B19" s="2"/>
      <c r="C19" s="25" t="s">
        <v>27</v>
      </c>
      <c r="D19" s="16">
        <f>IF(Dateneingabe!F18="","",Dateneingabe!F18)</f>
        <v>0.03</v>
      </c>
      <c r="E19" s="9"/>
      <c r="F19" s="9"/>
      <c r="H19" s="47" t="s">
        <v>116</v>
      </c>
      <c r="I19" s="242" t="str">
        <f>"bND = "&amp;aktJ&amp;" - "&amp;AJ&amp;" = "&amp;aktJ-AJ&amp;" Jahre"</f>
        <v>bND = 2006 - 1996 = 10 Jahre</v>
      </c>
      <c r="J19" s="243"/>
      <c r="K19" s="2"/>
      <c r="L19" s="2"/>
      <c r="M19" s="2"/>
      <c r="N19" s="285"/>
      <c r="O19" s="161"/>
      <c r="P19" s="160" t="str">
        <f>"z.B.                        "&amp;DOLLAR(L37,2)</f>
        <v>z.B.                        € 240,00</v>
      </c>
      <c r="Q19" s="2"/>
    </row>
    <row r="20" spans="1:17" ht="12" customHeight="1">
      <c r="A20" s="137"/>
      <c r="B20" s="2"/>
      <c r="C20" s="25" t="s">
        <v>58</v>
      </c>
      <c r="D20" s="26">
        <f>IF(Dateneingabe!F20="","",Dateneingabe!F20)</f>
        <v>4.76</v>
      </c>
      <c r="E20" s="9"/>
      <c r="F20" s="9"/>
      <c r="H20" s="24" t="s">
        <v>118</v>
      </c>
      <c r="I20" s="36"/>
      <c r="J20" s="9"/>
      <c r="K20" s="2"/>
      <c r="L20" s="2"/>
      <c r="M20" s="2"/>
      <c r="N20" s="285"/>
      <c r="O20" s="161"/>
      <c r="P20" s="24" t="s">
        <v>33</v>
      </c>
      <c r="Q20" s="2"/>
    </row>
    <row r="21" spans="1:17" ht="12" customHeight="1">
      <c r="A21" s="137"/>
      <c r="B21" s="2"/>
      <c r="C21" s="287" t="s">
        <v>59</v>
      </c>
      <c r="D21" s="90"/>
      <c r="E21" s="9"/>
      <c r="F21" s="9"/>
      <c r="H21" s="47" t="s">
        <v>117</v>
      </c>
      <c r="I21" s="242" t="str">
        <f>"ZW = "&amp;IF(bND&gt;=gND,DOLLAR(1,2)&amp;" → Maschine abgeschrieben!",FIXED(AW,2)&amp;" - "&amp;FIXED(Afa,2)&amp;" * "&amp;bND&amp;" = "&amp;DOLLAR(AW-Afa*bND,2))</f>
        <v>ZW = 24.000,00 - 1.200,00 * 10 = € 12.000,00</v>
      </c>
      <c r="J21" s="245"/>
      <c r="K21" s="2"/>
      <c r="L21" s="2"/>
      <c r="M21" s="2"/>
      <c r="N21" s="285"/>
      <c r="O21" s="161"/>
      <c r="P21" s="160" t="str">
        <f>"z.B.                        "&amp;DOLLAR(L38,2)</f>
        <v>z.B.                        € 240,00</v>
      </c>
      <c r="Q21" s="2"/>
    </row>
    <row r="22" spans="1:17" ht="12" customHeight="1">
      <c r="A22" s="137"/>
      <c r="B22" s="2"/>
      <c r="C22" s="288"/>
      <c r="D22" s="16">
        <f>IF(Dateneingabe!F22="","",Dateneingabe!F22)</f>
        <v>0.008</v>
      </c>
      <c r="E22" s="27"/>
      <c r="F22" s="27"/>
      <c r="G22" s="27"/>
      <c r="H22" s="27"/>
      <c r="I22" s="28"/>
      <c r="J22" s="2"/>
      <c r="K22" s="2"/>
      <c r="L22" s="2"/>
      <c r="M22" s="2"/>
      <c r="N22" s="285"/>
      <c r="O22" s="161"/>
      <c r="P22" s="24" t="s">
        <v>32</v>
      </c>
      <c r="Q22" s="2"/>
    </row>
    <row r="23" spans="1:17" ht="1.5" customHeight="1">
      <c r="A23" s="137"/>
      <c r="B23" s="2"/>
      <c r="C23" s="29"/>
      <c r="D23" s="29"/>
      <c r="E23" s="30"/>
      <c r="F23" s="30"/>
      <c r="G23" s="30"/>
      <c r="H23" s="31"/>
      <c r="I23" s="30"/>
      <c r="J23" s="2"/>
      <c r="K23" s="2"/>
      <c r="L23" s="2"/>
      <c r="M23" s="2"/>
      <c r="N23" s="285"/>
      <c r="O23" s="161"/>
      <c r="P23" s="32"/>
      <c r="Q23" s="2"/>
    </row>
    <row r="24" spans="1:17" ht="15" customHeight="1">
      <c r="A24" s="137"/>
      <c r="B24" s="33"/>
      <c r="C24" s="34" t="s">
        <v>22</v>
      </c>
      <c r="D24" s="34"/>
      <c r="E24" s="35" t="str">
        <f>IF(AND(C4="",D4=""),"",C4&amp;" - "&amp;D4)</f>
        <v>Traktor - 35 kW (48 PS)</v>
      </c>
      <c r="F24" s="35"/>
      <c r="G24" s="35"/>
      <c r="H24" s="31"/>
      <c r="I24" s="30"/>
      <c r="J24" s="2"/>
      <c r="K24" s="2"/>
      <c r="L24" s="2"/>
      <c r="M24" s="2"/>
      <c r="N24" s="286"/>
      <c r="O24" s="161"/>
      <c r="P24" s="160" t="str">
        <f>"z.B.                        "&amp;DOLLAR(L39,2)</f>
        <v>z.B.                        € 720,00</v>
      </c>
      <c r="Q24" s="33"/>
    </row>
    <row r="25" spans="1:17" ht="1.5" customHeight="1">
      <c r="A25" s="137"/>
      <c r="B25" s="33"/>
      <c r="C25" s="29"/>
      <c r="D25" s="29"/>
      <c r="E25" s="30"/>
      <c r="F25" s="30"/>
      <c r="G25" s="30"/>
      <c r="H25" s="31"/>
      <c r="I25" s="30"/>
      <c r="J25" s="2"/>
      <c r="K25" s="2"/>
      <c r="L25" s="2"/>
      <c r="M25" s="2"/>
      <c r="N25" s="24"/>
      <c r="O25" s="24"/>
      <c r="P25" s="36"/>
      <c r="Q25" s="33"/>
    </row>
    <row r="26" spans="1:17" ht="13.5" customHeight="1">
      <c r="A26" s="13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4" t="s">
        <v>10</v>
      </c>
      <c r="O26" s="24"/>
      <c r="P26" s="36"/>
      <c r="Q26" s="2"/>
    </row>
    <row r="27" spans="1:17" ht="15.75" customHeight="1">
      <c r="A27" s="137"/>
      <c r="B27" s="37"/>
      <c r="C27" s="38" t="s">
        <v>0</v>
      </c>
      <c r="D27" s="38"/>
      <c r="E27" s="38"/>
      <c r="F27" s="38"/>
      <c r="G27" s="37"/>
      <c r="H27" s="244" t="s">
        <v>30</v>
      </c>
      <c r="I27" s="19"/>
      <c r="J27" s="2"/>
      <c r="K27" s="38"/>
      <c r="L27" s="38"/>
      <c r="M27" s="2"/>
      <c r="N27" s="39" t="s">
        <v>43</v>
      </c>
      <c r="O27" s="162"/>
      <c r="P27" s="40"/>
      <c r="Q27" s="37"/>
    </row>
    <row r="28" spans="1:17" ht="12.75" customHeight="1">
      <c r="A28" s="137"/>
      <c r="B28" s="41"/>
      <c r="C28" s="42" t="s">
        <v>1</v>
      </c>
      <c r="D28" s="42"/>
      <c r="E28" s="42"/>
      <c r="F28" s="235">
        <f>IF(D5="","",D5)</f>
        <v>24000</v>
      </c>
      <c r="G28" s="41"/>
      <c r="H28" s="21" t="s">
        <v>23</v>
      </c>
      <c r="I28" s="22" t="s">
        <v>60</v>
      </c>
      <c r="J28" s="2"/>
      <c r="K28" s="294" t="s">
        <v>112</v>
      </c>
      <c r="L28" s="294"/>
      <c r="M28" s="2"/>
      <c r="N28" s="43" t="s">
        <v>36</v>
      </c>
      <c r="O28" s="163"/>
      <c r="P28" s="44"/>
      <c r="Q28" s="41"/>
    </row>
    <row r="29" spans="1:17" ht="12.75" customHeight="1">
      <c r="A29" s="137"/>
      <c r="B29" s="41"/>
      <c r="C29" s="42" t="s">
        <v>2</v>
      </c>
      <c r="D29" s="42"/>
      <c r="E29" s="42"/>
      <c r="F29" s="236">
        <f>IF(D6="","",D6)</f>
        <v>1996</v>
      </c>
      <c r="G29" s="41"/>
      <c r="H29" s="24" t="s">
        <v>24</v>
      </c>
      <c r="I29" s="36"/>
      <c r="J29" s="2"/>
      <c r="K29" s="295"/>
      <c r="L29" s="295"/>
      <c r="M29" s="2"/>
      <c r="N29" s="45" t="str">
        <f>"∑FK/Jahr = "&amp;DOLLAR(L36,2)&amp;" + "&amp;DOLLAR(L37,2)&amp;" + "&amp;DOLLAR(L38,2)&amp;" + "&amp;DOLLAR(L39,2)&amp;"                       = "&amp;DOLLAR(SUM(L36:L39),2)</f>
        <v>∑FK/Jahr = € 1.200,00 + € 240,00 + € 240,00 + € 720,00                       = € 2.400,00</v>
      </c>
      <c r="O29" s="164"/>
      <c r="P29" s="46"/>
      <c r="Q29" s="41"/>
    </row>
    <row r="30" spans="1:17" ht="12.75" customHeight="1">
      <c r="A30" s="137"/>
      <c r="B30" s="41"/>
      <c r="C30" s="42" t="s">
        <v>3</v>
      </c>
      <c r="D30" s="42"/>
      <c r="E30" s="42"/>
      <c r="F30" s="237">
        <f>IF(D7="","",D7)</f>
        <v>20</v>
      </c>
      <c r="G30" s="41"/>
      <c r="H30" s="47" t="s">
        <v>39</v>
      </c>
      <c r="I30" s="48" t="str">
        <f>"Afa = "&amp;IF(bND&gt;=gND,DOLLAR(0,2)&amp;" → abgeschrieben!",FIXED(F28,2)&amp;" : "&amp;F30&amp;" = "&amp;DOLLAR(F28/F30,2))</f>
        <v>Afa = 24.000,00 : 20 = € 1.200,00</v>
      </c>
      <c r="J30" s="2"/>
      <c r="K30" s="295"/>
      <c r="L30" s="295"/>
      <c r="M30" s="2"/>
      <c r="N30" s="24" t="s">
        <v>37</v>
      </c>
      <c r="O30" s="24"/>
      <c r="P30" s="36"/>
      <c r="Q30" s="41"/>
    </row>
    <row r="31" spans="1:17" ht="12.75" customHeight="1">
      <c r="A31" s="137"/>
      <c r="B31" s="41"/>
      <c r="C31" s="42" t="s">
        <v>4</v>
      </c>
      <c r="D31" s="42"/>
      <c r="E31" s="42"/>
      <c r="F31" s="238">
        <f>IF(D14="","",D14)</f>
        <v>100</v>
      </c>
      <c r="G31" s="41"/>
      <c r="H31" s="24" t="s">
        <v>7</v>
      </c>
      <c r="I31" s="36"/>
      <c r="J31" s="2"/>
      <c r="K31" s="295"/>
      <c r="L31" s="295"/>
      <c r="M31" s="2"/>
      <c r="N31" s="49" t="s">
        <v>40</v>
      </c>
      <c r="O31" s="165"/>
      <c r="P31" s="50"/>
      <c r="Q31" s="41"/>
    </row>
    <row r="32" spans="1:17" ht="15">
      <c r="A32" s="137"/>
      <c r="B32" s="41"/>
      <c r="C32" s="42" t="s">
        <v>114</v>
      </c>
      <c r="D32" s="42"/>
      <c r="E32" s="42"/>
      <c r="F32" s="241">
        <f>aktJ-AJ</f>
        <v>10</v>
      </c>
      <c r="G32" s="41"/>
      <c r="H32" s="49" t="str">
        <f>"z.B. "&amp;E37*100&amp;" % vom Neuwert:"</f>
        <v>z.B. 1 % vom Neuwert:</v>
      </c>
      <c r="I32" s="50"/>
      <c r="J32" s="2"/>
      <c r="K32" s="295"/>
      <c r="L32" s="295"/>
      <c r="M32" s="2"/>
      <c r="N32" s="51" t="s">
        <v>36</v>
      </c>
      <c r="O32" s="166"/>
      <c r="P32" s="52"/>
      <c r="Q32" s="41"/>
    </row>
    <row r="33" spans="1:17" ht="15" customHeight="1">
      <c r="A33" s="137"/>
      <c r="B33" s="2"/>
      <c r="C33" s="42" t="s">
        <v>5</v>
      </c>
      <c r="D33" s="42"/>
      <c r="E33" s="240">
        <f>IF(D16="","",D16)</f>
        <v>2006</v>
      </c>
      <c r="F33" s="239">
        <f>IF(F32&gt;=F30,1,F28-F36*F32)</f>
        <v>12000</v>
      </c>
      <c r="G33" s="2"/>
      <c r="H33" s="53" t="str">
        <f>"U = AW * "&amp;E37*100&amp;" %"</f>
        <v>U = AW * 1 %</v>
      </c>
      <c r="I33" s="54" t="str">
        <f>"U = "&amp;FIXED($F$28,2)&amp;" * "&amp;E37*100&amp;" % = "&amp;DOLLAR($F$28*E37,2)</f>
        <v>U = 24.000,00 * 1 % = € 240,00</v>
      </c>
      <c r="J33" s="2"/>
      <c r="K33" s="295"/>
      <c r="L33" s="295"/>
      <c r="M33" s="2"/>
      <c r="N33" s="53" t="str">
        <f>"E/Jahr = "&amp;DOLLAR(F43,2)&amp;" * "&amp;F31&amp;" h"</f>
        <v>E/Jahr = € 4,76 * 100 h</v>
      </c>
      <c r="O33" s="167"/>
      <c r="P33" s="55" t="str">
        <f>"E/Jahr = "&amp;DOLLAR(F43*F31,2)</f>
        <v>E/Jahr = € 476,00</v>
      </c>
      <c r="Q33" s="2"/>
    </row>
    <row r="34" spans="1:17" ht="15.75" customHeight="1">
      <c r="A34" s="137"/>
      <c r="B34" s="37"/>
      <c r="C34" s="139"/>
      <c r="D34" s="2"/>
      <c r="E34" s="2"/>
      <c r="F34" s="2"/>
      <c r="G34" s="37"/>
      <c r="H34" s="256" t="s">
        <v>124</v>
      </c>
      <c r="I34" s="257">
        <f>IF(Dateneingabe!C20="","",Dateneingabe!C20)</f>
      </c>
      <c r="J34" s="2"/>
      <c r="K34" s="2"/>
      <c r="L34" s="2"/>
      <c r="M34" s="2"/>
      <c r="N34" s="24" t="s">
        <v>38</v>
      </c>
      <c r="O34" s="24"/>
      <c r="Q34" s="37"/>
    </row>
    <row r="35" spans="1:17" ht="12.75" customHeight="1">
      <c r="A35" s="137"/>
      <c r="B35" s="41"/>
      <c r="C35" s="38" t="s">
        <v>6</v>
      </c>
      <c r="D35" s="38"/>
      <c r="E35" s="38"/>
      <c r="F35" s="38"/>
      <c r="G35" s="41"/>
      <c r="H35" s="24" t="s">
        <v>8</v>
      </c>
      <c r="I35" s="36"/>
      <c r="J35" s="2"/>
      <c r="K35" s="38"/>
      <c r="L35" s="38"/>
      <c r="M35" s="2"/>
      <c r="N35" s="49" t="s">
        <v>41</v>
      </c>
      <c r="O35" s="165"/>
      <c r="P35" s="50"/>
      <c r="Q35" s="41"/>
    </row>
    <row r="36" spans="1:17" ht="15">
      <c r="A36" s="137"/>
      <c r="B36" s="41"/>
      <c r="C36" s="42" t="s">
        <v>21</v>
      </c>
      <c r="D36" s="42"/>
      <c r="E36" s="56">
        <f>100/F30</f>
        <v>5</v>
      </c>
      <c r="F36" s="57">
        <f>IF(E33-F29&gt;=F30,0,F28/F30)</f>
        <v>1200</v>
      </c>
      <c r="G36" s="60"/>
      <c r="H36" s="49" t="str">
        <f>"z.B. "&amp;E38*100&amp;" % vom Neuwert:"</f>
        <v>z.B. 1 % vom Neuwert:</v>
      </c>
      <c r="I36" s="50"/>
      <c r="J36" s="2"/>
      <c r="K36" s="291" t="s">
        <v>18</v>
      </c>
      <c r="L36" s="58">
        <f>F36</f>
        <v>1200</v>
      </c>
      <c r="M36" s="2"/>
      <c r="N36" s="51" t="s">
        <v>36</v>
      </c>
      <c r="O36" s="166"/>
      <c r="P36" s="52"/>
      <c r="Q36" s="41"/>
    </row>
    <row r="37" spans="1:17" ht="15">
      <c r="A37" s="137"/>
      <c r="B37" s="41"/>
      <c r="C37" s="42" t="s">
        <v>7</v>
      </c>
      <c r="D37" s="42"/>
      <c r="E37" s="59">
        <f>IF(D9="","",IF(D10&lt;&gt;"","",D9))</f>
        <v>0.01</v>
      </c>
      <c r="F37" s="57">
        <f>IF(AND(F28="",E37=""),"",IF(D10&lt;&gt;"",D10,F28*E37))</f>
        <v>240</v>
      </c>
      <c r="G37" s="60"/>
      <c r="H37" s="53" t="str">
        <f>"V = AW * "&amp;E38*100&amp;" %"</f>
        <v>V = AW * 1 %</v>
      </c>
      <c r="I37" s="54" t="str">
        <f>"V = "&amp;FIXED($F$28,2)&amp;" * "&amp;E38*100&amp;" % = "&amp;DOLLAR($F$28*E38,2)</f>
        <v>V = 24.000,00 * 1 % = € 240,00</v>
      </c>
      <c r="J37" s="2"/>
      <c r="K37" s="291"/>
      <c r="L37" s="58">
        <f>F37</f>
        <v>240</v>
      </c>
      <c r="M37" s="2"/>
      <c r="N37" s="53" t="str">
        <f>"R/Jahr = "&amp;DOLLAR(F44,2)&amp;" : 100 * "&amp;F31&amp;" h"</f>
        <v>R/Jahr = € 192,00 : 100 * 100 h</v>
      </c>
      <c r="O37" s="167"/>
      <c r="P37" s="55" t="str">
        <f>"R/Jahr = "&amp;DOLLAR(F44/100*F31,2)</f>
        <v>R/Jahr = € 192,00</v>
      </c>
      <c r="Q37" s="41"/>
    </row>
    <row r="38" spans="1:17" ht="15">
      <c r="A38" s="137"/>
      <c r="B38" s="41"/>
      <c r="C38" s="42" t="s">
        <v>8</v>
      </c>
      <c r="D38" s="42"/>
      <c r="E38" s="59">
        <f>IF(D12="","",IF(D13&lt;&gt;"","",D12))</f>
        <v>0.01</v>
      </c>
      <c r="F38" s="57">
        <f>IF(AND(F28="",E38=""),"",IF(D13&lt;&gt;"",D13,F28*E38))</f>
        <v>240</v>
      </c>
      <c r="G38" s="60"/>
      <c r="H38" s="256" t="s">
        <v>124</v>
      </c>
      <c r="I38" s="257">
        <f>IF(Dateneingabe!C26="","",Dateneingabe!C26)</f>
      </c>
      <c r="J38" s="2"/>
      <c r="K38" s="291"/>
      <c r="L38" s="58">
        <f>F38</f>
        <v>240</v>
      </c>
      <c r="M38" s="2"/>
      <c r="N38" s="24" t="s">
        <v>46</v>
      </c>
      <c r="O38" s="24"/>
      <c r="P38" s="36"/>
      <c r="Q38" s="41"/>
    </row>
    <row r="39" spans="1:17" ht="12.75" customHeight="1">
      <c r="A39" s="137"/>
      <c r="B39" s="41"/>
      <c r="C39" s="42" t="s">
        <v>9</v>
      </c>
      <c r="D39" s="42"/>
      <c r="E39" s="61">
        <f>IF(D19="","",D19)</f>
        <v>0.03</v>
      </c>
      <c r="F39" s="57">
        <f>F28*E39</f>
        <v>720</v>
      </c>
      <c r="G39" s="41"/>
      <c r="H39" s="24" t="s">
        <v>9</v>
      </c>
      <c r="I39" s="36"/>
      <c r="J39" s="2"/>
      <c r="K39" s="291"/>
      <c r="L39" s="62">
        <f>F39</f>
        <v>720</v>
      </c>
      <c r="M39" s="2"/>
      <c r="N39" s="39" t="s">
        <v>36</v>
      </c>
      <c r="O39" s="162"/>
      <c r="P39" s="40"/>
      <c r="Q39" s="41"/>
    </row>
    <row r="40" spans="1:17" ht="15" customHeight="1">
      <c r="A40" s="137"/>
      <c r="B40" s="2"/>
      <c r="C40" s="63"/>
      <c r="D40" s="63"/>
      <c r="E40" s="63"/>
      <c r="F40" s="64" t="s">
        <v>61</v>
      </c>
      <c r="G40" s="2"/>
      <c r="H40" s="49" t="str">
        <f>"z.B. "&amp;E39*100&amp;" % vom Neuwert:"</f>
        <v>z.B. 3 % vom Neuwert:</v>
      </c>
      <c r="I40" s="50"/>
      <c r="J40" s="2"/>
      <c r="K40" s="64" t="s">
        <v>62</v>
      </c>
      <c r="L40" s="65">
        <f>SUM(L36:L39)</f>
        <v>2400</v>
      </c>
      <c r="M40" s="2"/>
      <c r="N40" s="45" t="s">
        <v>44</v>
      </c>
      <c r="O40" s="164"/>
      <c r="P40" s="66" t="str">
        <f>"∑FK/Jahr = "&amp;DOLLAR(L43,2)&amp;" + "&amp;DOLLAR(L44,2)&amp;" = "&amp;DOLLAR(SUM(L43:L44),2)</f>
        <v>∑FK/Jahr = € 476,00 + € 192,00 = € 668,00</v>
      </c>
      <c r="Q40" s="2"/>
    </row>
    <row r="41" spans="1:17" ht="15.75" customHeight="1">
      <c r="A41" s="137"/>
      <c r="B41" s="37"/>
      <c r="C41" s="2"/>
      <c r="D41" s="2"/>
      <c r="E41" s="2"/>
      <c r="F41" s="2"/>
      <c r="G41" s="37"/>
      <c r="H41" s="53" t="str">
        <f>"Z = AW * "&amp;E39*100&amp;" %"</f>
        <v>Z = AW * 3 %</v>
      </c>
      <c r="I41" s="54" t="str">
        <f>"Z = "&amp;FIXED($F$28,2)&amp;" * "&amp;E39*100&amp;" % = "&amp;DOLLAR($F$28*E39,2)</f>
        <v>Z = 24.000,00 * 3 % = € 720,00</v>
      </c>
      <c r="J41" s="2"/>
      <c r="K41" s="2"/>
      <c r="L41" s="2"/>
      <c r="M41" s="2"/>
      <c r="N41" s="2"/>
      <c r="O41" s="2"/>
      <c r="P41" s="2"/>
      <c r="Q41" s="37"/>
    </row>
    <row r="42" spans="1:17" ht="15.75" customHeight="1">
      <c r="A42" s="137"/>
      <c r="B42" s="41"/>
      <c r="C42" s="38" t="s">
        <v>11</v>
      </c>
      <c r="D42" s="38"/>
      <c r="E42" s="38"/>
      <c r="F42" s="38"/>
      <c r="G42" s="41"/>
      <c r="J42" s="2"/>
      <c r="K42" s="38"/>
      <c r="L42" s="38"/>
      <c r="M42" s="2"/>
      <c r="N42" s="18" t="s">
        <v>64</v>
      </c>
      <c r="O42" s="18"/>
      <c r="P42" s="19"/>
      <c r="Q42" s="41"/>
    </row>
    <row r="43" spans="1:17" ht="15">
      <c r="A43" s="137"/>
      <c r="B43" s="41"/>
      <c r="C43" s="42" t="s">
        <v>12</v>
      </c>
      <c r="D43" s="42"/>
      <c r="E43" s="42"/>
      <c r="F43" s="67">
        <f>IF(D20="",0,D20)</f>
        <v>4.76</v>
      </c>
      <c r="G43" s="41"/>
      <c r="H43" s="24" t="s">
        <v>119</v>
      </c>
      <c r="I43" s="36"/>
      <c r="J43" s="2"/>
      <c r="K43" s="291" t="s">
        <v>19</v>
      </c>
      <c r="L43" s="57">
        <f>IF(E\h="",0,F43*F31)</f>
        <v>476</v>
      </c>
      <c r="M43" s="2"/>
      <c r="N43" s="21" t="s">
        <v>23</v>
      </c>
      <c r="O43" s="21"/>
      <c r="P43" s="22" t="s">
        <v>48</v>
      </c>
      <c r="Q43" s="41"/>
    </row>
    <row r="44" spans="1:17" ht="15">
      <c r="A44" s="137"/>
      <c r="B44" s="41"/>
      <c r="C44" s="289">
        <v>100</v>
      </c>
      <c r="D44" s="290"/>
      <c r="E44" s="68">
        <f>IF(D22="","",D22)</f>
        <v>0.008</v>
      </c>
      <c r="F44" s="69">
        <f>F28*E44</f>
        <v>192</v>
      </c>
      <c r="G44" s="41"/>
      <c r="H44" s="282" t="s">
        <v>28</v>
      </c>
      <c r="I44" s="292" t="s">
        <v>29</v>
      </c>
      <c r="J44" s="2"/>
      <c r="K44" s="291"/>
      <c r="L44" s="70">
        <f>F44/100*F31</f>
        <v>192</v>
      </c>
      <c r="M44" s="2"/>
      <c r="N44" s="73" t="s">
        <v>15</v>
      </c>
      <c r="O44" s="73"/>
      <c r="P44" s="74"/>
      <c r="Q44" s="41"/>
    </row>
    <row r="45" spans="1:17" ht="15" customHeight="1">
      <c r="A45" s="137"/>
      <c r="B45" s="2"/>
      <c r="C45" s="71"/>
      <c r="D45" s="71"/>
      <c r="E45" s="71"/>
      <c r="F45" s="64" t="s">
        <v>63</v>
      </c>
      <c r="G45" s="2"/>
      <c r="H45" s="283"/>
      <c r="I45" s="293"/>
      <c r="J45" s="2"/>
      <c r="K45" s="64" t="s">
        <v>62</v>
      </c>
      <c r="L45" s="72">
        <f>SUM(L43:L44)</f>
        <v>668</v>
      </c>
      <c r="M45" s="2"/>
      <c r="N45" s="75" t="s">
        <v>36</v>
      </c>
      <c r="O45" s="168"/>
      <c r="P45" s="76"/>
      <c r="Q45" s="2"/>
    </row>
    <row r="46" spans="1:17" ht="15.75" customHeight="1">
      <c r="A46" s="137"/>
      <c r="B46" s="37"/>
      <c r="C46" s="2"/>
      <c r="D46" s="2"/>
      <c r="E46" s="2"/>
      <c r="F46" s="2"/>
      <c r="G46" s="37"/>
      <c r="H46" s="283"/>
      <c r="I46" s="293"/>
      <c r="J46" s="2"/>
      <c r="K46" s="2"/>
      <c r="L46" s="2"/>
      <c r="M46" s="2"/>
      <c r="N46" s="77" t="s">
        <v>45</v>
      </c>
      <c r="O46" s="169"/>
      <c r="P46" s="78" t="str">
        <f>"FK/h = "&amp;DOLLAR(L40,2)&amp;" : "&amp;F31&amp;" h = "&amp;DOLLAR(L40/F31,2)</f>
        <v>FK/h = € 2.400,00 : 100 h = € 24,00</v>
      </c>
      <c r="Q46" s="37"/>
    </row>
    <row r="47" spans="1:17" ht="15" customHeight="1">
      <c r="A47" s="137"/>
      <c r="B47" s="41"/>
      <c r="C47" s="38" t="s">
        <v>14</v>
      </c>
      <c r="D47" s="38"/>
      <c r="E47" s="38"/>
      <c r="F47" s="38"/>
      <c r="G47" s="41"/>
      <c r="H47" s="51" t="s">
        <v>36</v>
      </c>
      <c r="I47" s="52"/>
      <c r="J47" s="2"/>
      <c r="K47" s="38"/>
      <c r="L47" s="38"/>
      <c r="M47" s="2"/>
      <c r="N47" s="73" t="s">
        <v>16</v>
      </c>
      <c r="O47" s="73"/>
      <c r="P47" s="74"/>
      <c r="Q47" s="41"/>
    </row>
    <row r="48" spans="1:17" ht="15">
      <c r="A48" s="137"/>
      <c r="B48" s="41"/>
      <c r="C48" s="79" t="s">
        <v>15</v>
      </c>
      <c r="D48" s="79"/>
      <c r="E48" s="79"/>
      <c r="F48" s="79"/>
      <c r="G48" s="41"/>
      <c r="H48" s="53" t="str">
        <f>DOLLAR(F43,2)&amp;" je Betriebsstunde"</f>
        <v>€ 4,76 je Betriebsstunde</v>
      </c>
      <c r="I48" s="54"/>
      <c r="J48" s="2"/>
      <c r="K48" s="79"/>
      <c r="L48" s="80">
        <f>L40/F31</f>
        <v>24</v>
      </c>
      <c r="M48" s="2"/>
      <c r="N48" s="75" t="s">
        <v>36</v>
      </c>
      <c r="O48" s="168"/>
      <c r="P48" s="76"/>
      <c r="Q48" s="41"/>
    </row>
    <row r="49" spans="1:17" ht="15.75" thickBot="1">
      <c r="A49" s="137"/>
      <c r="B49" s="41"/>
      <c r="C49" s="79" t="s">
        <v>16</v>
      </c>
      <c r="D49" s="79"/>
      <c r="E49" s="79"/>
      <c r="F49" s="79"/>
      <c r="G49" s="41"/>
      <c r="H49" s="24" t="s">
        <v>120</v>
      </c>
      <c r="I49" s="36"/>
      <c r="J49" s="2"/>
      <c r="K49" s="79"/>
      <c r="L49" s="81">
        <f>L45/F31</f>
        <v>6.68</v>
      </c>
      <c r="M49" s="2"/>
      <c r="N49" s="77" t="s">
        <v>47</v>
      </c>
      <c r="O49" s="169"/>
      <c r="P49" s="78" t="str">
        <f>"VK/h = "&amp;DOLLAR(L45,2)&amp;" : "&amp;F31&amp;" h = "&amp;DOLLAR(L45/F31,2)</f>
        <v>VK/h = € 668,00 : 100 h = € 6,68</v>
      </c>
      <c r="Q49" s="41"/>
    </row>
    <row r="50" spans="1:17" ht="15" customHeight="1" thickBot="1">
      <c r="A50" s="137"/>
      <c r="B50" s="2"/>
      <c r="C50" s="82" t="s">
        <v>17</v>
      </c>
      <c r="D50" s="82"/>
      <c r="E50" s="82"/>
      <c r="F50" s="82"/>
      <c r="G50" s="2"/>
      <c r="H50" s="282" t="s">
        <v>28</v>
      </c>
      <c r="I50" s="50"/>
      <c r="J50" s="2"/>
      <c r="K50" s="82"/>
      <c r="L50" s="84">
        <f>SUM(L48:L49)</f>
        <v>30.68</v>
      </c>
      <c r="M50" s="2"/>
      <c r="N50" s="73" t="s">
        <v>49</v>
      </c>
      <c r="O50" s="73"/>
      <c r="P50" s="74"/>
      <c r="Q50" s="2"/>
    </row>
    <row r="51" spans="1:17" ht="15">
      <c r="A51" s="137"/>
      <c r="B51" s="2"/>
      <c r="C51" s="2"/>
      <c r="D51" s="2"/>
      <c r="E51" s="2"/>
      <c r="F51" s="2"/>
      <c r="G51" s="2"/>
      <c r="H51" s="283"/>
      <c r="I51" s="83"/>
      <c r="J51" s="2"/>
      <c r="K51" s="2"/>
      <c r="L51" s="2"/>
      <c r="M51" s="2"/>
      <c r="N51" s="85" t="s">
        <v>36</v>
      </c>
      <c r="O51" s="170"/>
      <c r="P51" s="86"/>
      <c r="Q51" s="2"/>
    </row>
    <row r="52" spans="1:17" ht="15">
      <c r="A52" s="137"/>
      <c r="B52" s="2"/>
      <c r="C52" s="2"/>
      <c r="D52" s="2"/>
      <c r="E52" s="2"/>
      <c r="F52" s="2"/>
      <c r="G52" s="2"/>
      <c r="H52" s="51" t="s">
        <v>36</v>
      </c>
      <c r="I52" s="52"/>
      <c r="J52" s="2"/>
      <c r="K52" s="2"/>
      <c r="L52" s="2"/>
      <c r="M52" s="2"/>
      <c r="N52" s="88" t="s">
        <v>50</v>
      </c>
      <c r="O52" s="171"/>
      <c r="P52" s="89" t="str">
        <f>"GK/h = "&amp;DOLLAR(L48,2)&amp;" + "&amp;DOLLAR(L49,2)&amp;" = "&amp;DOLLAR(SUM(L48:L49),2)</f>
        <v>GK/h = € 24,00 + € 6,68 = € 30,68</v>
      </c>
      <c r="Q52" s="2"/>
    </row>
    <row r="53" spans="1:17" ht="9" customHeight="1">
      <c r="A53" s="137"/>
      <c r="B53" s="2"/>
      <c r="C53" s="2"/>
      <c r="D53" s="2"/>
      <c r="E53" s="2"/>
      <c r="F53" s="2"/>
      <c r="G53" s="2"/>
      <c r="H53" s="280" t="str">
        <f>E44*100&amp;" % vom Neuwert pro 100 Betriebsstunden"</f>
        <v>0,8 % vom Neuwert pro 100 Betriebsstunden</v>
      </c>
      <c r="I53" s="281"/>
      <c r="J53" s="2"/>
      <c r="K53" s="2"/>
      <c r="L53" s="2"/>
      <c r="M53" s="2"/>
      <c r="N53" s="2"/>
      <c r="O53" s="2"/>
      <c r="P53" s="2"/>
      <c r="Q53" s="2"/>
    </row>
    <row r="54" spans="1:17" ht="15">
      <c r="A54" s="137"/>
      <c r="B54" s="2"/>
      <c r="C54" s="2"/>
      <c r="D54" s="2"/>
      <c r="E54" s="2"/>
      <c r="F54" s="2"/>
      <c r="G54" s="2"/>
      <c r="H54" s="87" t="str">
        <f>"R/100h = AW * "&amp;E44*100&amp;" %"</f>
        <v>R/100h = AW * 0,8 %</v>
      </c>
      <c r="I54" s="54" t="str">
        <f>"R/100h = "&amp;FIXED(F28,2)&amp;" * "&amp;E44*100&amp;" % = "&amp;DOLLAR(F28*E44,2)</f>
        <v>R/100h = 24.000,00 * 0,8 % = € 192,00</v>
      </c>
      <c r="J54" s="2"/>
      <c r="K54" s="2"/>
      <c r="L54" s="2"/>
      <c r="M54" s="2"/>
      <c r="N54" s="2"/>
      <c r="O54" s="2"/>
      <c r="P54" s="2"/>
      <c r="Q54" s="2"/>
    </row>
    <row r="55" spans="1:17" ht="15">
      <c r="A55" s="13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ht="15" hidden="1"/>
    <row r="57" ht="15" hidden="1"/>
  </sheetData>
  <sheetProtection sheet="1" objects="1" scenarios="1" selectLockedCells="1"/>
  <mergeCells count="10">
    <mergeCell ref="H53:I53"/>
    <mergeCell ref="H50:H51"/>
    <mergeCell ref="N17:N24"/>
    <mergeCell ref="C21:C22"/>
    <mergeCell ref="C44:D44"/>
    <mergeCell ref="K36:K39"/>
    <mergeCell ref="K43:K44"/>
    <mergeCell ref="H44:H46"/>
    <mergeCell ref="I44:I46"/>
    <mergeCell ref="K28:L33"/>
  </mergeCells>
  <conditionalFormatting sqref="H32:I33">
    <cfRule type="expression" priority="1" dxfId="5" stopIfTrue="1">
      <formula>$I$34&lt;&gt;""</formula>
    </cfRule>
  </conditionalFormatting>
  <conditionalFormatting sqref="H36:I37">
    <cfRule type="expression" priority="2" dxfId="5" stopIfTrue="1">
      <formula>$I$38&lt;&gt;""</formula>
    </cfRule>
  </conditionalFormatting>
  <conditionalFormatting sqref="H34:I34">
    <cfRule type="expression" priority="3" dxfId="5" stopIfTrue="1">
      <formula>$I$34=""</formula>
    </cfRule>
  </conditionalFormatting>
  <conditionalFormatting sqref="H38:I38">
    <cfRule type="expression" priority="4" dxfId="5" stopIfTrue="1">
      <formula>$I$38=""</formula>
    </cfRule>
  </conditionalFormatting>
  <conditionalFormatting sqref="D9">
    <cfRule type="expression" priority="5" dxfId="6" stopIfTrue="1">
      <formula>$D$10&lt;&gt;""</formula>
    </cfRule>
  </conditionalFormatting>
  <conditionalFormatting sqref="D12">
    <cfRule type="expression" priority="6" dxfId="6" stopIfTrue="1">
      <formula>$D$13&lt;&gt;""</formula>
    </cfRule>
  </conditionalFormatting>
  <conditionalFormatting sqref="E36">
    <cfRule type="expression" priority="7" dxfId="2" stopIfTrue="1">
      <formula>$F$36=0</formula>
    </cfRule>
  </conditionalFormatting>
  <hyperlinks>
    <hyperlink ref="A3" location="Maschinenkosten!A1" tooltip="Zurück zur Berechnung der Maschinenkosten!" display="◄ Berechnung"/>
    <hyperlink ref="A1" location="Dateneingabe!A1" display="Dateneingabe"/>
    <hyperlink ref="A5" location="Korrektur!A1" tooltip="Hier kannst du dein Ergebnis ansehen!" display="◄ Korrektur"/>
  </hyperlinks>
  <printOptions horizontalCentered="1"/>
  <pageMargins left="0.3937007874015748" right="0.3937007874015748" top="0.3937007874015748" bottom="0.3937007874015748" header="0" footer="0.1968503937007874"/>
  <pageSetup blackAndWhite="1" horizontalDpi="600" verticalDpi="600" orientation="landscape" paperSize="9" scale="76" r:id="rId2"/>
  <headerFooter alignWithMargins="0">
    <oddFooter>&amp;L&amp;6© Mag. Wolfgang Harasleben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e&amp;w harasleben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wharasleben</dc:creator>
  <cp:keywords/>
  <dc:description/>
  <cp:lastModifiedBy>he</cp:lastModifiedBy>
  <cp:lastPrinted>2006-05-17T12:36:14Z</cp:lastPrinted>
  <dcterms:created xsi:type="dcterms:W3CDTF">2004-05-12T19:43:54Z</dcterms:created>
  <dcterms:modified xsi:type="dcterms:W3CDTF">2006-06-13T19:25:51Z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